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310" windowHeight="6800" tabRatio="782" activeTab="3"/>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'!$A$1:$P$90</definedName>
    <definedName name="_xlnm.Print_Area" localSheetId="1">'Lease info'!$A$1:$G$90</definedName>
    <definedName name="_xlnm.Print_Area" localSheetId="4">'P&amp;L'!$A$1:$BF$74</definedName>
    <definedName name="_xlnm.Print_Area" localSheetId="0">'Portfolio'!$A$1:$F$48</definedName>
    <definedName name="_xlnm.Print_Area" localSheetId="3">'Qtr metrics '!$A$1:$BF$98</definedName>
    <definedName name="_xlnm.Print_Titles" localSheetId="2">'FY metrics '!$1:$2</definedName>
    <definedName name="_xlnm.Print_Titles" localSheetId="3">'Qtr metrics '!$1:$6</definedName>
  </definedNames>
  <calcPr fullCalcOnLoad="1"/>
</workbook>
</file>

<file path=xl/comments5.xml><?xml version="1.0" encoding="utf-8"?>
<comments xmlns="http://schemas.openxmlformats.org/spreadsheetml/2006/main">
  <authors>
    <author>Ken Wong</author>
  </authors>
  <commentList>
    <comment ref="AS15" authorId="0">
      <text>
        <r>
          <rPr>
            <b/>
            <sz val="9"/>
            <rFont val="Tahoma"/>
            <family val="2"/>
          </rPr>
          <t>Ken Wong:</t>
        </r>
        <r>
          <rPr>
            <sz val="9"/>
            <rFont val="Tahoma"/>
            <family val="2"/>
          </rPr>
          <t xml:space="preserve">
Property maintenance expenses + Salaries</t>
        </r>
      </text>
    </comment>
    <comment ref="AS27" authorId="0">
      <text>
        <r>
          <rPr>
            <b/>
            <sz val="9"/>
            <rFont val="Tahoma"/>
            <family val="2"/>
          </rPr>
          <t>Ken Wong:</t>
        </r>
        <r>
          <rPr>
            <sz val="9"/>
            <rFont val="Tahoma"/>
            <family val="2"/>
          </rPr>
          <t xml:space="preserve">
Management fees for 2016 per account is $13,597.
Per Announcement is $13,585.
We have disclosed $13,585 and adjust the difference to trust expense</t>
        </r>
      </text>
    </comment>
    <comment ref="AS28" authorId="0">
      <text>
        <r>
          <rPr>
            <b/>
            <sz val="9"/>
            <rFont val="Tahoma"/>
            <family val="2"/>
          </rPr>
          <t>Ken Wong:</t>
        </r>
        <r>
          <rPr>
            <sz val="9"/>
            <rFont val="Tahoma"/>
            <family val="2"/>
          </rPr>
          <t xml:space="preserve">
Trust expense for 2016 per account is $1,703.
Per Announcement is $1,716</t>
        </r>
      </text>
    </comment>
  </commentList>
</comments>
</file>

<file path=xl/sharedStrings.xml><?xml version="1.0" encoding="utf-8"?>
<sst xmlns="http://schemas.openxmlformats.org/spreadsheetml/2006/main" count="967" uniqueCount="359">
  <si>
    <t>% total gross rents</t>
  </si>
  <si>
    <t>Gross revenue ($ '000)</t>
  </si>
  <si>
    <t>Net property income ($ '000)</t>
  </si>
  <si>
    <t>Amount</t>
  </si>
  <si>
    <t>2Q08</t>
  </si>
  <si>
    <t xml:space="preserve">No. </t>
  </si>
  <si>
    <t>Expiry</t>
  </si>
  <si>
    <t xml:space="preserve">Cost of debt </t>
  </si>
  <si>
    <t xml:space="preserve">Portfolio </t>
  </si>
  <si>
    <t>$'000</t>
  </si>
  <si>
    <t>Income support</t>
  </si>
  <si>
    <t>Distributions to Unitholders (S$'000)</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</si>
  <si>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</si>
  <si>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</si>
  <si>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</si>
  <si>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</si>
  <si>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</si>
  <si>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</si>
  <si>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</si>
  <si>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</si>
  <si>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</si>
  <si>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</si>
  <si>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</si>
  <si>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</si>
  <si>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</si>
  <si>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</si>
  <si>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</si>
  <si>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</si>
  <si>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Alexandra Technopark (ATP)</t>
  </si>
  <si>
    <t>FCOT portfolio</t>
  </si>
  <si>
    <t>Valuation (S$ million)</t>
  </si>
  <si>
    <t>AWPF</t>
  </si>
  <si>
    <t>Gain/(loss) from changes in fair value of other investment (AWPF)</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</si>
  <si>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</si>
  <si>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</si>
  <si>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</si>
  <si>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</si>
  <si>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</si>
  <si>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</si>
  <si>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</si>
  <si>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</si>
  <si>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</si>
  <si>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</si>
  <si>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</si>
  <si>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</si>
  <si>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</si>
  <si>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</si>
  <si>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</si>
  <si>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</si>
  <si>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</si>
  <si>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</si>
  <si>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</si>
  <si>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</si>
  <si>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Consultancy / Business Services</t>
  </si>
  <si>
    <t>Others</t>
  </si>
  <si>
    <t>Retail</t>
  </si>
  <si>
    <t>Shipping / Freight</t>
  </si>
  <si>
    <t>Medical / Pharmaceuticals</t>
  </si>
  <si>
    <t>Amenities</t>
  </si>
  <si>
    <t>NLA (sq ft)</t>
  </si>
  <si>
    <t>REVENUE</t>
  </si>
  <si>
    <t>EXPENSES</t>
  </si>
  <si>
    <t>Property tax</t>
  </si>
  <si>
    <t>Other property expenses</t>
  </si>
  <si>
    <t>NET PROPERTY INCOME</t>
  </si>
  <si>
    <t>Trustees' fees</t>
  </si>
  <si>
    <t>Interest income</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</si>
  <si>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</si>
  <si>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</si>
  <si>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</si>
  <si>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</si>
  <si>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</si>
  <si>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</si>
  <si>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</si>
  <si>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</si>
  <si>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</si>
  <si>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</si>
  <si>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</si>
  <si>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</si>
  <si>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</si>
  <si>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</si>
  <si>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</si>
  <si>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</si>
  <si>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</si>
  <si>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</si>
  <si>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</si>
  <si>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</si>
  <si>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</si>
  <si>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</si>
  <si>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</si>
  <si>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</si>
  <si>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</si>
  <si>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</si>
  <si>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</si>
  <si>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</si>
  <si>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</si>
  <si>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</si>
  <si>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</si>
  <si>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</si>
  <si>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Distributions to CPPU Holders (S$'000)</t>
  </si>
  <si>
    <t>Distributions to CPPU Holders (%)</t>
  </si>
  <si>
    <t>FY10</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</si>
  <si>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</si>
  <si>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</si>
  <si>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</si>
  <si>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</si>
  <si>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</si>
  <si>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</si>
  <si>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</si>
  <si>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</si>
  <si>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</si>
  <si>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</si>
  <si>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</si>
  <si>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</si>
  <si>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</si>
  <si>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</si>
  <si>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</si>
  <si>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</si>
  <si>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</si>
  <si>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</si>
  <si>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</si>
  <si>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</si>
  <si>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</si>
  <si>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</si>
  <si>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</si>
  <si>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</si>
  <si>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</si>
  <si>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</si>
  <si>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</si>
  <si>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</si>
  <si>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</si>
  <si>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</si>
  <si>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</si>
  <si>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</si>
  <si>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</si>
  <si>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</si>
  <si>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</si>
  <si>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</si>
  <si>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</si>
  <si>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</si>
  <si>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</si>
  <si>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</si>
  <si>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</si>
  <si>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</si>
  <si>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</si>
  <si>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</si>
  <si>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</si>
  <si>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</si>
  <si>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</si>
  <si>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</si>
  <si>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</si>
  <si>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t>Caroline Chisholm Centre (CTL)</t>
  </si>
  <si>
    <t>1Q13</t>
  </si>
  <si>
    <r>
      <t>86%</t>
    </r>
    <r>
      <rPr>
        <vertAlign val="superscript"/>
        <sz val="10"/>
        <rFont val="Times New Roman"/>
        <family val="1"/>
      </rPr>
      <t>3</t>
    </r>
  </si>
  <si>
    <r>
      <t>97%</t>
    </r>
    <r>
      <rPr>
        <vertAlign val="superscript"/>
        <sz val="10"/>
        <rFont val="Times New Roman"/>
        <family val="1"/>
      </rPr>
      <t>4</t>
    </r>
  </si>
  <si>
    <t>Committed occupancy as at 30 September 2012</t>
  </si>
  <si>
    <t>2Q13</t>
  </si>
  <si>
    <t>GroupM Singapore Pte Ltd</t>
  </si>
  <si>
    <t>3Q13</t>
  </si>
  <si>
    <r>
      <t>100%</t>
    </r>
    <r>
      <rPr>
        <vertAlign val="superscript"/>
        <sz val="10"/>
        <rFont val="Times New Roman"/>
        <family val="1"/>
      </rPr>
      <t>6</t>
    </r>
  </si>
  <si>
    <t>4Q13</t>
  </si>
  <si>
    <t>1Q14</t>
  </si>
  <si>
    <t>2Q14</t>
  </si>
  <si>
    <t>3Q14</t>
  </si>
  <si>
    <t>A$135m Transferable Term Loan Facility</t>
  </si>
  <si>
    <t>Microsoft Operations Pte Ltd</t>
  </si>
  <si>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</si>
  <si>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</si>
  <si>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</si>
  <si>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</si>
  <si>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</si>
  <si>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t>1Q15</t>
  </si>
  <si>
    <t>2Q15</t>
  </si>
  <si>
    <t>3Q15</t>
  </si>
  <si>
    <t>357 Collins Street (357CS)</t>
  </si>
  <si>
    <t>A$75m Transferable Term Loan Facility</t>
  </si>
  <si>
    <t>FY19</t>
  </si>
  <si>
    <t>FCOT Portfolio</t>
  </si>
  <si>
    <t>357CS</t>
  </si>
  <si>
    <r>
      <t>96%</t>
    </r>
    <r>
      <rPr>
        <vertAlign val="superscript"/>
        <sz val="10"/>
        <rFont val="Times New Roman"/>
        <family val="1"/>
      </rPr>
      <t>8</t>
    </r>
  </si>
  <si>
    <t>Committed occupancy as at 30 September 2015</t>
  </si>
  <si>
    <t>4Q15</t>
  </si>
  <si>
    <t>1Q16</t>
  </si>
  <si>
    <t>2Q16</t>
  </si>
  <si>
    <t>3Q16</t>
  </si>
  <si>
    <t>FY20</t>
  </si>
  <si>
    <t>FY16</t>
  </si>
  <si>
    <r>
      <t>89%</t>
    </r>
    <r>
      <rPr>
        <vertAlign val="superscript"/>
        <sz val="10"/>
        <rFont val="Times New Roman"/>
        <family val="1"/>
      </rPr>
      <t>9</t>
    </r>
  </si>
  <si>
    <t>4Q16</t>
  </si>
  <si>
    <t>FY17</t>
  </si>
  <si>
    <t>1Q17</t>
  </si>
  <si>
    <t>NA</t>
  </si>
  <si>
    <t>S$100.0m</t>
  </si>
  <si>
    <t>Gross revenue</t>
  </si>
  <si>
    <t>S$50.0m</t>
  </si>
  <si>
    <t>Series 1 S$100m 2.835% 5-year Fixed rate notes</t>
  </si>
  <si>
    <t>Series 2 S$100m 2.625% 3-year Fixed rate notes</t>
  </si>
  <si>
    <t>Series 3 S$50m 2.783% 4-year Fixed rate notes</t>
  </si>
  <si>
    <t>2Q17</t>
  </si>
  <si>
    <r>
      <t>97%</t>
    </r>
    <r>
      <rPr>
        <vertAlign val="superscript"/>
        <sz val="10"/>
        <rFont val="Times New Roman"/>
        <family val="1"/>
      </rPr>
      <t>3</t>
    </r>
  </si>
  <si>
    <r>
      <t>92%</t>
    </r>
    <r>
      <rPr>
        <vertAlign val="superscript"/>
        <sz val="10"/>
        <rFont val="Times New Roman"/>
        <family val="1"/>
      </rPr>
      <t>3</t>
    </r>
  </si>
  <si>
    <r>
      <t>100%</t>
    </r>
    <r>
      <rPr>
        <vertAlign val="superscript"/>
        <sz val="10"/>
        <rFont val="Times New Roman"/>
        <family val="1"/>
      </rPr>
      <t>3</t>
    </r>
  </si>
  <si>
    <r>
      <t>93%</t>
    </r>
    <r>
      <rPr>
        <vertAlign val="superscript"/>
        <sz val="10"/>
        <rFont val="Times New Roman"/>
        <family val="1"/>
      </rPr>
      <t>3</t>
    </r>
  </si>
  <si>
    <r>
      <t>94%</t>
    </r>
    <r>
      <rPr>
        <vertAlign val="superscript"/>
        <sz val="10"/>
        <rFont val="Times New Roman"/>
        <family val="1"/>
      </rPr>
      <t>3</t>
    </r>
  </si>
  <si>
    <r>
      <t>98%</t>
    </r>
    <r>
      <rPr>
        <vertAlign val="superscript"/>
        <sz val="10"/>
        <rFont val="Times New Roman"/>
        <family val="1"/>
      </rPr>
      <t>3</t>
    </r>
  </si>
  <si>
    <r>
      <t>95%</t>
    </r>
    <r>
      <rPr>
        <vertAlign val="superscript"/>
        <sz val="10"/>
        <rFont val="Times New Roman"/>
        <family val="1"/>
      </rPr>
      <t>3</t>
    </r>
  </si>
  <si>
    <t>Committed occupancy as at quarter end.</t>
  </si>
  <si>
    <r>
      <t>95%</t>
    </r>
    <r>
      <rPr>
        <vertAlign val="superscript"/>
        <sz val="10"/>
        <rFont val="Times New Roman"/>
        <family val="1"/>
      </rPr>
      <t>4</t>
    </r>
  </si>
  <si>
    <r>
      <t>96%</t>
    </r>
    <r>
      <rPr>
        <vertAlign val="superscript"/>
        <sz val="10"/>
        <rFont val="Times New Roman"/>
        <family val="1"/>
      </rPr>
      <t>3</t>
    </r>
  </si>
  <si>
    <r>
      <t>80%</t>
    </r>
    <r>
      <rPr>
        <vertAlign val="superscript"/>
        <sz val="10"/>
        <rFont val="Times New Roman"/>
        <family val="1"/>
      </rPr>
      <t>3</t>
    </r>
  </si>
  <si>
    <r>
      <t>89%</t>
    </r>
    <r>
      <rPr>
        <vertAlign val="superscript"/>
        <sz val="10"/>
        <rFont val="Times New Roman"/>
        <family val="1"/>
      </rPr>
      <t>3,5</t>
    </r>
  </si>
  <si>
    <r>
      <t>88%</t>
    </r>
    <r>
      <rPr>
        <vertAlign val="superscript"/>
        <sz val="10"/>
        <rFont val="Times New Roman"/>
        <family val="1"/>
      </rPr>
      <t>3,5</t>
    </r>
  </si>
  <si>
    <r>
      <t>83%</t>
    </r>
    <r>
      <rPr>
        <vertAlign val="superscript"/>
        <sz val="10"/>
        <rFont val="Times New Roman"/>
        <family val="1"/>
      </rPr>
      <t>5</t>
    </r>
  </si>
  <si>
    <r>
      <t>91%</t>
    </r>
    <r>
      <rPr>
        <vertAlign val="superscript"/>
        <sz val="10"/>
        <rFont val="Times New Roman"/>
        <family val="1"/>
      </rPr>
      <t>3</t>
    </r>
  </si>
  <si>
    <r>
      <t>85%</t>
    </r>
    <r>
      <rPr>
        <vertAlign val="superscript"/>
        <sz val="10"/>
        <rFont val="Times New Roman"/>
        <family val="1"/>
      </rPr>
      <t>6</t>
    </r>
  </si>
  <si>
    <t>Series 4 S$80m Floating rate notes</t>
  </si>
  <si>
    <t>S$80.0m</t>
  </si>
  <si>
    <t>3Q17</t>
  </si>
  <si>
    <r>
      <t>81%</t>
    </r>
    <r>
      <rPr>
        <vertAlign val="superscript"/>
        <sz val="10"/>
        <rFont val="Times New Roman"/>
        <family val="1"/>
      </rPr>
      <t>5</t>
    </r>
  </si>
  <si>
    <r>
      <t>82%</t>
    </r>
    <r>
      <rPr>
        <vertAlign val="superscript"/>
        <sz val="10"/>
        <rFont val="Times New Roman"/>
        <family val="1"/>
      </rPr>
      <t>7</t>
    </r>
  </si>
  <si>
    <t>Total return before tax</t>
  </si>
  <si>
    <t>FY21</t>
  </si>
  <si>
    <r>
      <t>80%</t>
    </r>
    <r>
      <rPr>
        <vertAlign val="superscript"/>
        <sz val="10"/>
        <rFont val="Times New Roman"/>
        <family val="1"/>
      </rPr>
      <t>9</t>
    </r>
  </si>
  <si>
    <r>
      <t>90%</t>
    </r>
    <r>
      <rPr>
        <vertAlign val="superscript"/>
        <sz val="10"/>
        <rFont val="Times New Roman"/>
        <family val="1"/>
      </rPr>
      <t>10</t>
    </r>
  </si>
  <si>
    <r>
      <t>76%</t>
    </r>
    <r>
      <rPr>
        <vertAlign val="superscript"/>
        <sz val="10"/>
        <rFont val="Times New Roman"/>
        <family val="1"/>
      </rPr>
      <t>11</t>
    </r>
  </si>
  <si>
    <r>
      <t>89%</t>
    </r>
    <r>
      <rPr>
        <vertAlign val="superscript"/>
        <sz val="10"/>
        <rFont val="Times New Roman"/>
        <family val="1"/>
      </rPr>
      <t>12</t>
    </r>
  </si>
  <si>
    <t xml:space="preserve">Committed occupancy as at 30 September. Occupancy of retail units affected by planned vacancies arising from Hotel and Commercial Project. Refer to the Circular to Unitholders dated 3 June 2015 for details. </t>
  </si>
  <si>
    <t xml:space="preserve">Adjusted to reflect 17.1% which will not be renewed by Hewlett-Packard Enterprise Singapore Pte Ltd upon lease expirations on 30 September 2017 and 30 November 2017 (refer to announcement dated 22 September 2017 for further details). Actual occupancy as at 30 September 2017 was 90.8%. 
</t>
  </si>
  <si>
    <t xml:space="preserve">Committed up to January 2018, taking into account space committed by an entity of Rio Tinto Limited on a new 12-year lease commencing in FY18, among others. Actual occupancy on 30 September 2017 was 69.6%.  </t>
  </si>
  <si>
    <t>Committed occupancy as at 30 September 2017.</t>
  </si>
  <si>
    <r>
      <t>78%</t>
    </r>
    <r>
      <rPr>
        <vertAlign val="superscript"/>
        <sz val="10"/>
        <rFont val="Times New Roman"/>
        <family val="1"/>
      </rPr>
      <t>10</t>
    </r>
  </si>
  <si>
    <r>
      <t>97%</t>
    </r>
    <r>
      <rPr>
        <vertAlign val="superscript"/>
        <sz val="10"/>
        <rFont val="Times New Roman"/>
        <family val="1"/>
      </rPr>
      <t>10</t>
    </r>
  </si>
  <si>
    <r>
      <t>86%</t>
    </r>
    <r>
      <rPr>
        <vertAlign val="superscript"/>
        <sz val="10"/>
        <rFont val="Times New Roman"/>
        <family val="1"/>
      </rPr>
      <t>10</t>
    </r>
  </si>
  <si>
    <t>4Q17</t>
  </si>
  <si>
    <r>
      <t>93.2%</t>
    </r>
    <r>
      <rPr>
        <vertAlign val="superscript"/>
        <sz val="10"/>
        <rFont val="Times New Roman"/>
        <family val="1"/>
      </rPr>
      <t>13</t>
    </r>
  </si>
  <si>
    <r>
      <t>79.9%</t>
    </r>
    <r>
      <rPr>
        <vertAlign val="superscript"/>
        <sz val="10"/>
        <rFont val="Times New Roman"/>
        <family val="1"/>
      </rPr>
      <t>14</t>
    </r>
  </si>
  <si>
    <r>
      <t>83.3%</t>
    </r>
    <r>
      <rPr>
        <vertAlign val="superscript"/>
        <sz val="10"/>
        <rFont val="Times New Roman"/>
        <family val="1"/>
      </rPr>
      <t>16</t>
    </r>
  </si>
  <si>
    <r>
      <t>86.6%</t>
    </r>
    <r>
      <rPr>
        <vertAlign val="superscript"/>
        <sz val="10"/>
        <rFont val="Times New Roman"/>
        <family val="1"/>
      </rPr>
      <t>17</t>
    </r>
  </si>
  <si>
    <r>
      <t>71.6%</t>
    </r>
    <r>
      <rPr>
        <vertAlign val="superscript"/>
        <sz val="10"/>
        <rFont val="Times New Roman"/>
        <family val="1"/>
      </rPr>
      <t>15</t>
    </r>
  </si>
  <si>
    <t>Mainly affected by lease expiration for Hewlett-Packard Enterprise Singapore Pte Ltd and phased reduction in lease area by Hewlett-Packard Singapore Pte Ltd at Alexandra Technopark (refer to the announcements dated 22 September 2017 and 3 November 2017 for further details).</t>
  </si>
  <si>
    <t>Adjusted for, among other things, space committed by an entity of Rio Tinto Limited on a new 12-year lease commencing in FY18 at Central Park and excluding 18 Cross Street retail podium (NLA c.64,000 sq ft) which is currently closed for asset enhancement.</t>
  </si>
  <si>
    <t>1Q18</t>
  </si>
  <si>
    <t>S$60.0m</t>
  </si>
  <si>
    <t>Engineering</t>
  </si>
  <si>
    <t>Automobile</t>
  </si>
  <si>
    <t>Commonwealth of Australia (Caroline Chisholm Centre)</t>
  </si>
  <si>
    <t>Fluor Limited</t>
  </si>
  <si>
    <t>FBP</t>
  </si>
  <si>
    <t>2Q18</t>
  </si>
  <si>
    <r>
      <t>92.8%</t>
    </r>
    <r>
      <rPr>
        <vertAlign val="superscript"/>
        <sz val="10"/>
        <rFont val="Times New Roman"/>
        <family val="1"/>
      </rPr>
      <t>13</t>
    </r>
  </si>
  <si>
    <r>
      <t>70.4%</t>
    </r>
    <r>
      <rPr>
        <vertAlign val="superscript"/>
        <sz val="10"/>
        <rFont val="Times New Roman"/>
        <family val="1"/>
      </rPr>
      <t>14</t>
    </r>
  </si>
  <si>
    <r>
      <t>68.3%</t>
    </r>
    <r>
      <rPr>
        <vertAlign val="superscript"/>
        <sz val="10"/>
        <rFont val="Times New Roman"/>
        <family val="1"/>
      </rPr>
      <t>15</t>
    </r>
  </si>
  <si>
    <t>Committed occupancy as at end of quarter. Excluding 18 Cross Street retail podium  (NLA c. 64,000 sq ft) which is currently closed for asset enhancement.</t>
  </si>
  <si>
    <t>Committed occupancy as at end of quarter.</t>
  </si>
  <si>
    <r>
      <t>87.9%</t>
    </r>
    <r>
      <rPr>
        <vertAlign val="superscript"/>
        <sz val="10"/>
        <rFont val="Times New Roman"/>
        <family val="1"/>
      </rPr>
      <t>14</t>
    </r>
  </si>
  <si>
    <r>
      <t>76.1%</t>
    </r>
    <r>
      <rPr>
        <vertAlign val="superscript"/>
        <sz val="10"/>
        <rFont val="Times New Roman"/>
        <family val="1"/>
      </rPr>
      <t>16</t>
    </r>
  </si>
  <si>
    <r>
      <t>83.5%</t>
    </r>
    <r>
      <rPr>
        <vertAlign val="superscript"/>
        <sz val="10"/>
        <rFont val="Times New Roman"/>
        <family val="1"/>
      </rPr>
      <t>17</t>
    </r>
  </si>
  <si>
    <t>Share of results of joint venture</t>
  </si>
  <si>
    <t>Series 5 S$60m 3.185% 5-year Fixed rate notes</t>
  </si>
  <si>
    <t>GBP/SGD</t>
  </si>
  <si>
    <t>3Q18</t>
  </si>
  <si>
    <r>
      <t>93.9%</t>
    </r>
    <r>
      <rPr>
        <vertAlign val="superscript"/>
        <sz val="10"/>
        <rFont val="Times New Roman"/>
        <family val="1"/>
      </rPr>
      <t>13</t>
    </r>
  </si>
  <si>
    <r>
      <t>64.8%</t>
    </r>
    <r>
      <rPr>
        <vertAlign val="superscript"/>
        <sz val="10"/>
        <rFont val="Times New Roman"/>
        <family val="1"/>
      </rPr>
      <t>14</t>
    </r>
  </si>
  <si>
    <r>
      <t>69.8%</t>
    </r>
    <r>
      <rPr>
        <vertAlign val="superscript"/>
        <sz val="10"/>
        <rFont val="Times New Roman"/>
        <family val="1"/>
      </rPr>
      <t>15</t>
    </r>
  </si>
  <si>
    <t xml:space="preserve">Adjusted for, among other things, space committed by an entity of Rio Tinto Limited on a new 12-year lease commencing in FY18 and space that Rio Tinto Limited will be returning by end-FY18 as part of its partial relocation to new premises under the new lease. </t>
  </si>
  <si>
    <r>
      <t>72.2%</t>
    </r>
    <r>
      <rPr>
        <vertAlign val="superscript"/>
        <sz val="10"/>
        <rFont val="Times New Roman"/>
        <family val="1"/>
      </rPr>
      <t>16</t>
    </r>
  </si>
  <si>
    <r>
      <t>81.9%</t>
    </r>
    <r>
      <rPr>
        <vertAlign val="superscript"/>
        <sz val="10"/>
        <rFont val="Times New Roman"/>
        <family val="1"/>
      </rPr>
      <t>17</t>
    </r>
  </si>
  <si>
    <t>Amortisation of borrowing costs/ Unamortised borrowing costs written-off</t>
  </si>
  <si>
    <t>Net change in fair value of investment properties</t>
  </si>
  <si>
    <t>Net change in fair value of derivative financial instruments</t>
  </si>
  <si>
    <t>NET INCOME BEFORE FOREIGN EXCHANGE DIFFERENCES, FAIR VALUE CHANGES AND TAXATION</t>
  </si>
  <si>
    <t>4Q18</t>
  </si>
  <si>
    <t>NLA for both CP and FBP are 100.0% basis each.</t>
  </si>
  <si>
    <t>FY22</t>
  </si>
  <si>
    <t>FY18</t>
  </si>
  <si>
    <r>
      <t>94.4%</t>
    </r>
    <r>
      <rPr>
        <vertAlign val="superscript"/>
        <sz val="10"/>
        <rFont val="Times New Roman"/>
        <family val="1"/>
      </rPr>
      <t>13</t>
    </r>
  </si>
  <si>
    <r>
      <t>70.2%</t>
    </r>
    <r>
      <rPr>
        <vertAlign val="superscript"/>
        <sz val="10"/>
        <rFont val="Times New Roman"/>
        <family val="1"/>
      </rPr>
      <t>14</t>
    </r>
  </si>
  <si>
    <r>
      <t>70%</t>
    </r>
    <r>
      <rPr>
        <vertAlign val="superscript"/>
        <sz val="10"/>
        <rFont val="Times New Roman"/>
        <family val="1"/>
      </rPr>
      <t>12</t>
    </r>
  </si>
  <si>
    <r>
      <t>70.2%</t>
    </r>
    <r>
      <rPr>
        <vertAlign val="superscript"/>
        <sz val="10"/>
        <rFont val="Times New Roman"/>
        <family val="1"/>
      </rPr>
      <t>11</t>
    </r>
  </si>
  <si>
    <r>
      <t>94.4%</t>
    </r>
    <r>
      <rPr>
        <vertAlign val="superscript"/>
        <sz val="10"/>
        <rFont val="Times New Roman"/>
        <family val="1"/>
      </rPr>
      <t>9</t>
    </r>
  </si>
  <si>
    <t>UK</t>
  </si>
  <si>
    <r>
      <t>98%</t>
    </r>
    <r>
      <rPr>
        <vertAlign val="superscript"/>
        <sz val="10"/>
        <rFont val="Times New Roman"/>
        <family val="1"/>
      </rPr>
      <t>10</t>
    </r>
  </si>
  <si>
    <r>
      <t>89%</t>
    </r>
    <r>
      <rPr>
        <vertAlign val="superscript"/>
        <sz val="10"/>
        <rFont val="Times New Roman"/>
        <family val="1"/>
      </rPr>
      <t>10</t>
    </r>
  </si>
  <si>
    <r>
      <t>76%</t>
    </r>
    <r>
      <rPr>
        <vertAlign val="superscript"/>
        <sz val="10"/>
        <rFont val="Times New Roman"/>
        <family val="1"/>
      </rPr>
      <t>10</t>
    </r>
  </si>
  <si>
    <r>
      <t>83%</t>
    </r>
    <r>
      <rPr>
        <vertAlign val="superscript"/>
        <sz val="10"/>
        <rFont val="Times New Roman"/>
        <family val="1"/>
      </rPr>
      <t>10</t>
    </r>
  </si>
  <si>
    <t>United Kingdom</t>
  </si>
  <si>
    <r>
      <t>75.7%</t>
    </r>
    <r>
      <rPr>
        <vertAlign val="superscript"/>
        <sz val="10"/>
        <rFont val="Times New Roman"/>
        <family val="1"/>
      </rPr>
      <t>16</t>
    </r>
  </si>
  <si>
    <t>1Q19</t>
  </si>
  <si>
    <t>Rio Tinto Shared Services Pty Ltd</t>
  </si>
  <si>
    <r>
      <t>97.2%</t>
    </r>
    <r>
      <rPr>
        <vertAlign val="superscript"/>
        <sz val="10"/>
        <rFont val="Times New Roman"/>
        <family val="1"/>
      </rPr>
      <t>13</t>
    </r>
  </si>
  <si>
    <r>
      <t>68.6%</t>
    </r>
    <r>
      <rPr>
        <vertAlign val="superscript"/>
        <sz val="10"/>
        <rFont val="Times New Roman"/>
        <family val="1"/>
      </rPr>
      <t>14</t>
    </r>
  </si>
  <si>
    <r>
      <t>75.0%</t>
    </r>
    <r>
      <rPr>
        <vertAlign val="superscript"/>
        <sz val="10"/>
        <rFont val="Times New Roman"/>
        <family val="1"/>
      </rPr>
      <t>16</t>
    </r>
  </si>
  <si>
    <r>
      <t>98.9%</t>
    </r>
    <r>
      <rPr>
        <vertAlign val="superscript"/>
        <sz val="10"/>
        <rFont val="Times New Roman"/>
        <family val="1"/>
      </rPr>
      <t>14</t>
    </r>
  </si>
  <si>
    <t>Straight lining adjustments</t>
  </si>
  <si>
    <t>S$50m Transferable Term Loan Facility</t>
  </si>
  <si>
    <t>2Q19</t>
  </si>
  <si>
    <r>
      <t>95.3%</t>
    </r>
    <r>
      <rPr>
        <vertAlign val="superscript"/>
        <sz val="10"/>
        <rFont val="Times New Roman"/>
        <family val="1"/>
      </rPr>
      <t>13</t>
    </r>
  </si>
  <si>
    <r>
      <t>59.2%</t>
    </r>
    <r>
      <rPr>
        <vertAlign val="superscript"/>
        <sz val="10"/>
        <rFont val="Times New Roman"/>
        <family val="1"/>
      </rPr>
      <t>14</t>
    </r>
  </si>
  <si>
    <r>
      <t>83.5%</t>
    </r>
    <r>
      <rPr>
        <vertAlign val="superscript"/>
        <sz val="10"/>
        <rFont val="Times New Roman"/>
        <family val="1"/>
      </rPr>
      <t>14</t>
    </r>
  </si>
  <si>
    <r>
      <t>67.5%</t>
    </r>
    <r>
      <rPr>
        <vertAlign val="superscript"/>
        <sz val="10"/>
        <rFont val="Times New Roman"/>
        <family val="1"/>
      </rPr>
      <t>16</t>
    </r>
  </si>
  <si>
    <t>CCC</t>
  </si>
  <si>
    <t>3Q19</t>
  </si>
  <si>
    <r>
      <t>94.8%</t>
    </r>
    <r>
      <rPr>
        <vertAlign val="superscript"/>
        <sz val="10"/>
        <rFont val="Times New Roman"/>
        <family val="1"/>
      </rPr>
      <t>13</t>
    </r>
  </si>
  <si>
    <r>
      <t>93.7%</t>
    </r>
    <r>
      <rPr>
        <vertAlign val="superscript"/>
        <sz val="10"/>
        <rFont val="Times New Roman"/>
        <family val="1"/>
      </rPr>
      <t>14</t>
    </r>
  </si>
  <si>
    <r>
      <t>83.1%</t>
    </r>
    <r>
      <rPr>
        <vertAlign val="superscript"/>
        <sz val="10"/>
        <rFont val="Times New Roman"/>
        <family val="1"/>
      </rPr>
      <t>14</t>
    </r>
  </si>
  <si>
    <r>
      <rPr>
        <sz val="10"/>
        <rFont val="Calibri"/>
        <family val="2"/>
      </rPr>
      <t>£1.4</t>
    </r>
    <r>
      <rPr>
        <sz val="9.4"/>
        <rFont val="Times New Roman"/>
        <family val="1"/>
      </rPr>
      <t>m revolving credit facility</t>
    </r>
  </si>
  <si>
    <t>As at 30 September 2019</t>
  </si>
  <si>
    <t>4Q19</t>
  </si>
  <si>
    <t>Service Stream</t>
  </si>
  <si>
    <t>Service office/ flexible space operators</t>
  </si>
  <si>
    <t>FY23</t>
  </si>
  <si>
    <t>FY24+</t>
  </si>
  <si>
    <t xml:space="preserve">Lease expiry profile </t>
  </si>
  <si>
    <t>Committed occupancy as at 30 September 2019.</t>
  </si>
  <si>
    <r>
      <t xml:space="preserve">96.8% </t>
    </r>
    <r>
      <rPr>
        <vertAlign val="superscript"/>
        <sz val="10"/>
        <rFont val="Times New Roman"/>
        <family val="1"/>
      </rPr>
      <t>13</t>
    </r>
  </si>
  <si>
    <r>
      <t xml:space="preserve">99.7% </t>
    </r>
    <r>
      <rPr>
        <vertAlign val="superscript"/>
        <sz val="10"/>
        <rFont val="Times New Roman"/>
        <family val="1"/>
      </rPr>
      <t>13</t>
    </r>
  </si>
  <si>
    <r>
      <t xml:space="preserve">89.9% </t>
    </r>
    <r>
      <rPr>
        <vertAlign val="superscript"/>
        <sz val="10"/>
        <rFont val="Times New Roman"/>
        <family val="1"/>
      </rPr>
      <t>13</t>
    </r>
  </si>
  <si>
    <r>
      <t xml:space="preserve">83.0% </t>
    </r>
    <r>
      <rPr>
        <vertAlign val="superscript"/>
        <sz val="10"/>
        <rFont val="Times New Roman"/>
        <family val="1"/>
      </rPr>
      <t>13</t>
    </r>
  </si>
  <si>
    <t xml:space="preserve"> - </t>
  </si>
  <si>
    <r>
      <t xml:space="preserve">95.0% </t>
    </r>
    <r>
      <rPr>
        <vertAlign val="superscript"/>
        <sz val="10"/>
        <rFont val="Times New Roman"/>
        <family val="1"/>
      </rPr>
      <t>13</t>
    </r>
  </si>
  <si>
    <t>Suntory Beverage &amp; Food Asia Pte Ltd</t>
  </si>
  <si>
    <t>Nokia Solutions and Networks (S) PL</t>
  </si>
  <si>
    <r>
      <t xml:space="preserve">97.4% </t>
    </r>
    <r>
      <rPr>
        <vertAlign val="superscript"/>
        <sz val="10"/>
        <rFont val="Times New Roman"/>
        <family val="1"/>
      </rPr>
      <t>14</t>
    </r>
  </si>
  <si>
    <t xml:space="preserve">Inclusive of a new lease concluded in October 2019, the committed occupancy would be 99.1%. </t>
  </si>
  <si>
    <r>
      <t xml:space="preserve">96.8% </t>
    </r>
    <r>
      <rPr>
        <vertAlign val="superscript"/>
        <sz val="10"/>
        <rFont val="Times New Roman"/>
        <family val="1"/>
      </rPr>
      <t>14</t>
    </r>
  </si>
  <si>
    <r>
      <t xml:space="preserve">83.0% </t>
    </r>
    <r>
      <rPr>
        <vertAlign val="superscript"/>
        <sz val="10"/>
        <rFont val="Times New Roman"/>
        <family val="1"/>
      </rPr>
      <t>14</t>
    </r>
  </si>
  <si>
    <r>
      <t xml:space="preserve">95.0% </t>
    </r>
    <r>
      <rPr>
        <vertAlign val="superscript"/>
        <sz val="10"/>
        <rFont val="Times New Roman"/>
        <family val="1"/>
      </rPr>
      <t>14</t>
    </r>
  </si>
  <si>
    <r>
      <t xml:space="preserve">99.7% </t>
    </r>
    <r>
      <rPr>
        <vertAlign val="superscript"/>
        <sz val="10"/>
        <rFont val="Times New Roman"/>
        <family val="1"/>
      </rPr>
      <t>14</t>
    </r>
  </si>
  <si>
    <r>
      <t xml:space="preserve">89.9% </t>
    </r>
    <r>
      <rPr>
        <vertAlign val="superscript"/>
        <sz val="10"/>
        <rFont val="Times New Roman"/>
        <family val="1"/>
      </rPr>
      <t>14,18</t>
    </r>
  </si>
  <si>
    <r>
      <t xml:space="preserve">97.4% </t>
    </r>
    <r>
      <rPr>
        <vertAlign val="superscript"/>
        <sz val="10"/>
        <rFont val="Times New Roman"/>
        <family val="1"/>
      </rPr>
      <t>19</t>
    </r>
  </si>
  <si>
    <t xml:space="preserve">Including 18 Cross Street retail podium (NLA c. 80,000 sq ft) as at 30 September 2019. The NLA for 18 Cross Street retail podium had been excluded from 1QFY18 to 3QFY19 as it was closed for asset enhancement works during this period.  </t>
  </si>
  <si>
    <t xml:space="preserve">Food and Beverage </t>
  </si>
  <si>
    <t>PORTFOLIO INFORMATION AS AT 31 DECEMBER 2019</t>
  </si>
  <si>
    <t>As at 31 December 2019</t>
  </si>
  <si>
    <t>Based on the exchange rate of A$1.00 = S$0.9443 as at 31 December 2019.</t>
  </si>
  <si>
    <r>
      <t xml:space="preserve">Based on the exchange rate of £1.00 </t>
    </r>
    <r>
      <rPr>
        <sz val="8"/>
        <rFont val="Times New Roman"/>
        <family val="1"/>
      </rPr>
      <t>= S$1.7841 as at 31 December 2019.</t>
    </r>
  </si>
  <si>
    <t xml:space="preserve">For quarter ended 31 December 2019. </t>
  </si>
  <si>
    <t xml:space="preserve">Any discrepancies between individual amounts and total are due to rounding. Data as at 31  December 2019. Exclude lease incentives and retail turnover rents, if any. </t>
  </si>
  <si>
    <t>1Q20</t>
  </si>
  <si>
    <t xml:space="preserve"> -</t>
  </si>
  <si>
    <r>
      <t xml:space="preserve">90.8% </t>
    </r>
    <r>
      <rPr>
        <vertAlign val="superscript"/>
        <sz val="10"/>
        <rFont val="Times New Roman"/>
        <family val="1"/>
      </rPr>
      <t>14</t>
    </r>
  </si>
  <si>
    <r>
      <t xml:space="preserve">97.2% </t>
    </r>
    <r>
      <rPr>
        <vertAlign val="superscript"/>
        <sz val="10"/>
        <rFont val="Times New Roman"/>
        <family val="1"/>
      </rPr>
      <t>14</t>
    </r>
  </si>
  <si>
    <r>
      <t xml:space="preserve">97.9% </t>
    </r>
    <r>
      <rPr>
        <vertAlign val="superscript"/>
        <sz val="10"/>
        <rFont val="Times New Roman"/>
        <family val="1"/>
      </rPr>
      <t>14</t>
    </r>
  </si>
  <si>
    <t>5.72X</t>
  </si>
  <si>
    <t xml:space="preserve">Valuation represents FCOT's 50% indirect interest each in the asset. FBP is held as a joint venture and is equity-accounted in the financial statements. </t>
  </si>
  <si>
    <t xml:space="preserve">Commonwealth Bank of Australia </t>
  </si>
  <si>
    <r>
      <t>WeWork</t>
    </r>
    <r>
      <rPr>
        <vertAlign val="superscript"/>
        <sz val="10"/>
        <rFont val="Times New Roman"/>
        <family val="1"/>
      </rPr>
      <t>1</t>
    </r>
  </si>
  <si>
    <r>
      <rPr>
        <sz val="10"/>
        <rFont val="Calibri"/>
        <family val="2"/>
      </rPr>
      <t>S$20.0</t>
    </r>
    <r>
      <rPr>
        <sz val="9.4"/>
        <rFont val="Times New Roman"/>
        <family val="1"/>
      </rPr>
      <t>m revolving credit facility</t>
    </r>
  </si>
  <si>
    <r>
      <rPr>
        <sz val="10"/>
        <rFont val="Calibri"/>
        <family val="2"/>
      </rPr>
      <t>S$14.0</t>
    </r>
    <r>
      <rPr>
        <sz val="9.4"/>
        <rFont val="Times New Roman"/>
        <family val="1"/>
      </rPr>
      <t>m revolving credit facility</t>
    </r>
  </si>
  <si>
    <t>S$20.0m</t>
  </si>
  <si>
    <t>S$14.0m</t>
  </si>
  <si>
    <r>
      <t>Central Park (CP)</t>
    </r>
    <r>
      <rPr>
        <vertAlign val="superscript"/>
        <sz val="10"/>
        <rFont val="Times New Roman"/>
        <family val="1"/>
      </rPr>
      <t>1</t>
    </r>
  </si>
  <si>
    <r>
      <t>Farnborough Business Park (FPB)</t>
    </r>
    <r>
      <rPr>
        <vertAlign val="superscript"/>
        <sz val="10"/>
        <rFont val="Times New Roman"/>
        <family val="1"/>
      </rPr>
      <t>1</t>
    </r>
  </si>
  <si>
    <t>4</t>
  </si>
  <si>
    <r>
      <t xml:space="preserve">Average cost </t>
    </r>
    <r>
      <rPr>
        <vertAlign val="superscript"/>
        <sz val="10"/>
        <rFont val="Times New Roman"/>
        <family val="1"/>
      </rPr>
      <t>4</t>
    </r>
  </si>
  <si>
    <r>
      <t>Leverage info</t>
    </r>
    <r>
      <rPr>
        <b/>
        <vertAlign val="superscript"/>
        <sz val="10"/>
        <rFont val="Times New Roman"/>
        <family val="1"/>
      </rPr>
      <t>4</t>
    </r>
  </si>
  <si>
    <t xml:space="preserve">China Square Central (CSC) </t>
  </si>
  <si>
    <t>CSC</t>
  </si>
  <si>
    <t>Aggregate of WeWork group’s leases at China Square Central and Central Park signed under separate legal entities.</t>
  </si>
</sst>
</file>

<file path=xl/styles.xml><?xml version="1.0" encoding="utf-8"?>
<styleSheet xmlns="http://schemas.openxmlformats.org/spreadsheetml/2006/main">
  <numFmts count="1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dd\.mm\.yyyy"/>
    <numFmt numFmtId="174" formatCode="_(* #,##0.0000_);_(* \(#,##0.0000\);_(* &quot;-&quot;??_);_(@_)"/>
    <numFmt numFmtId="175" formatCode="#,##0.0"/>
    <numFmt numFmtId="176" formatCode="0.0%"/>
    <numFmt numFmtId="177" formatCode="0.0"/>
    <numFmt numFmtId="178" formatCode="#,##0.0_);\(#,##0.0\)"/>
    <numFmt numFmtId="179" formatCode="_(* #,##0.0_);_(* \(#,##0.0\);_(* &quot;-&quot;??_);_(@_)"/>
    <numFmt numFmtId="180" formatCode="[$-409]mmm\-yy;@"/>
    <numFmt numFmtId="181" formatCode="mmm\-yyyy"/>
    <numFmt numFmtId="182" formatCode="&quot;S$&quot;#,##0.0&quot;m&quot;"/>
    <numFmt numFmtId="183" formatCode="#,##0.0000_);\(#,##0.0000\)"/>
    <numFmt numFmtId="184" formatCode="#,##0.000_);\(#,##0.000\)"/>
    <numFmt numFmtId="185" formatCode="[$-409]d\-mmm\-yy;@"/>
    <numFmt numFmtId="186" formatCode="_(* #,##0.0_);_(* \(#,##0.0\);_(* &quot;-&quot;?_);_(@_)"/>
    <numFmt numFmtId="187" formatCode="#,##0.00000_);\(#,##0.00000\)"/>
    <numFmt numFmtId="188" formatCode="_(* #,##0.00000_);_(* \(#,##0.00000\);_(* &quot;-&quot;?????_);_(@_)"/>
    <numFmt numFmtId="189" formatCode="&quot;$&quot;#,##0.00"/>
    <numFmt numFmtId="190" formatCode="_-&quot;£&quot;* #,##0.00_-;\-&quot;£&quot;* #,##0.00_-;_-&quot;£&quot;* &quot;-&quot;??_-;_-@_-"/>
    <numFmt numFmtId="191" formatCode="mm/dd/yy"/>
    <numFmt numFmtId="192" formatCode="#,##0_)\x;\(#,##0\)\x;0_)\x;@_)_x"/>
    <numFmt numFmtId="193" formatCode="#,##0.0_);\(#,##0.0\);#,##0.0_);@_)"/>
    <numFmt numFmtId="194" formatCode="&quot;\&quot;_(#,##0.00_);&quot;\&quot;\(#,##0.00\);&quot;\&quot;_(0.00_);@_)"/>
    <numFmt numFmtId="195" formatCode="#,##0.00_);\(#,##0.00\);0.00_);@_)"/>
    <numFmt numFmtId="196" formatCode="\€_(#,##0.00_);\€\(#,##0.00\);\€_(0.00_);@_)"/>
    <numFmt numFmtId="197" formatCode="0.0_)\%;\(0.0\)\%;0.0_)\%;@_)_%"/>
    <numFmt numFmtId="198" formatCode="#,##0.0_)_%;\(#,##0.0\)_%;0.0_)_%;@_)_%"/>
    <numFmt numFmtId="199" formatCode="#,##0_)_x;\(#,##0\)_x;0_)_x;@_)_x"/>
    <numFmt numFmtId="200" formatCode="0.000000%"/>
    <numFmt numFmtId="201" formatCode="&quot;$&quot;_(#,##0.00_);&quot;$&quot;\(#,##0.00\);&quot;$&quot;_(0.00_);@_)"/>
    <numFmt numFmtId="202" formatCode="&quot;\&quot;_(#,##0.00_);&quot;\&quot;\(#,##0.00\)"/>
    <numFmt numFmtId="203" formatCode="#,##0.0_)\x;\(#,##0.0\)\x"/>
    <numFmt numFmtId="204" formatCode="#,##0.0_)_x;\(#,##0.0\)_x"/>
    <numFmt numFmtId="205" formatCode="0.0_)\%;\(0.0\)\%"/>
    <numFmt numFmtId="206" formatCode="#,##0.0_)_%;\(#,##0.0\)_%"/>
    <numFmt numFmtId="207" formatCode="_(\･* #,##0.00_);_(\･* \(#,##0.00\);_(\･* &quot;-&quot;??_);_(@_)"/>
    <numFmt numFmtId="208" formatCode="\･#,##0.00_);[Red]\(\･#,##0.00\)"/>
    <numFmt numFmtId="209" formatCode="&quot;α&quot;\ #,##0_);[Red]\(&quot;α&quot;\ #,##0\)"/>
    <numFmt numFmtId="210" formatCode="&quot;功&quot;\ #,##0_);[Red]\(&quot;功&quot;\ #,##0\)"/>
    <numFmt numFmtId="211" formatCode="&quot;&quot;\ \ @"/>
    <numFmt numFmtId="212" formatCode="0.000_)"/>
    <numFmt numFmtId="213" formatCode="&quot;€&quot;_(#,##0.00_);&quot;€&quot;\(#,##0.00\);&quot;€&quot;_(0.00_);@_)"/>
    <numFmt numFmtId="214" formatCode="_(&quot;･&quot;* #,##0.00_);_(&quot;･&quot;* \(#,##0.00\);_(&quot;･&quot;* &quot;-&quot;??_);_(@_)"/>
    <numFmt numFmtId="215" formatCode="&quot;\&quot;#,##0;&quot;\&quot;\-#,##0"/>
    <numFmt numFmtId="216" formatCode="&quot;\&quot;#,##0.00;[Red]&quot;\&quot;\-#,##0.00"/>
    <numFmt numFmtId="217" formatCode="\$#,##0_);[Red]\(\$#,##0\)"/>
    <numFmt numFmtId="218" formatCode="\$#,##0.00_);\(\$#,##0.00\)"/>
    <numFmt numFmtId="219" formatCode="&quot;CY &quot;yyyy_)"/>
    <numFmt numFmtId="220" formatCode="0.000%"/>
    <numFmt numFmtId="221" formatCode="&quot;$&quot;#,##0.000"/>
    <numFmt numFmtId="222" formatCode="_(* #,##0_);_(* \(#,##0\);_(* 0_);_(@_)"/>
    <numFmt numFmtId="223" formatCode=";;;"/>
    <numFmt numFmtId="224" formatCode="0.00_);[Red]\(0.00\)"/>
    <numFmt numFmtId="225" formatCode="General_)"/>
    <numFmt numFmtId="226" formatCode="#,##0.0\x_);\(#,##0.0\x\);#,##0.0\x_);@_)"/>
    <numFmt numFmtId="227" formatCode="#,##0.0\%_);\(#,##0.0\%\);#,##0.0\%_);@_)"/>
    <numFmt numFmtId="228" formatCode="_-* #,##0\ &quot;DM&quot;_-;\-* #,##0\ &quot;DM&quot;_-;_-* &quot;-&quot;\ &quot;DM&quot;_-;_-@_-"/>
    <numFmt numFmtId="229" formatCode="_-* #,##0\ _D_M_-;\-* #,##0\ _D_M_-;_-* &quot;-&quot;\ _D_M_-;_-@_-"/>
    <numFmt numFmtId="230" formatCode="_-* #,##0.00\ &quot;DM&quot;_-;\-* #,##0.00\ &quot;DM&quot;_-;_-* &quot;-&quot;??\ &quot;DM&quot;_-;_-@_-"/>
    <numFmt numFmtId="231" formatCode="_-* #,##0.00\ _D_M_-;\-* #,##0.00\ _D_M_-;_-* &quot;-&quot;??\ _D_M_-;_-@_-"/>
    <numFmt numFmtId="232" formatCode="m/yy"/>
    <numFmt numFmtId="233" formatCode="mm/dd"/>
    <numFmt numFmtId="234" formatCode="000000000"/>
    <numFmt numFmtId="235" formatCode="000"/>
    <numFmt numFmtId="236" formatCode="mmm\-yy_)"/>
    <numFmt numFmtId="237" formatCode="mm/dd/yy_)"/>
    <numFmt numFmtId="238" formatCode="#,##0\ &quot;F&quot;;[Red]\-#,##0\ &quot;F&quot;"/>
    <numFmt numFmtId="239" formatCode="#,##0.00\ &quot;F&quot;;\-#,##0.00\ &quot;F&quot;"/>
    <numFmt numFmtId="240" formatCode="#,##0.00\ &quot;F&quot;;[Red]\-#,##0.00\ &quot;F&quot;"/>
    <numFmt numFmtId="241" formatCode="_-* #,##0\ &quot;F&quot;_-;\-* #,##0\ &quot;F&quot;_-;_-* &quot;-&quot;\ &quot;F&quot;_-;_-@_-"/>
    <numFmt numFmtId="242" formatCode="_-* #,##0\ _F_-;\-* #,##0\ _F_-;_-* &quot;-&quot;\ _F_-;_-@_-"/>
    <numFmt numFmtId="243" formatCode="_([$€-2]* #,##0.00_);_([$€-2]* \(#,##0.00\);_([$€-2]* &quot;-&quot;??_)"/>
    <numFmt numFmtId="244" formatCode="\$#,##0.0_);\(\$###0.0\)_)"/>
    <numFmt numFmtId="245" formatCode="#,##0.0\x_);\(#,##0.0\)"/>
    <numFmt numFmtId="246" formatCode="\\\ #,##0_);[Red]\(\\\ #,##0\)"/>
    <numFmt numFmtId="247" formatCode="&quot;$&quot;_(#,##0.00_);&quot;$&quot;\(#,##0.00\)"/>
    <numFmt numFmtId="248" formatCode="&quot;£&quot;\ #,##0_);[Red]\(&quot;£&quot;\ #,##0\)"/>
    <numFmt numFmtId="249" formatCode="&quot;￡&quot;\ #,##0_);[Red]\(&quot;￡&quot;\ #,##0\)"/>
    <numFmt numFmtId="250" formatCode="&quot;\&quot;#,##0.0_);\(&quot;\&quot;#,##0.0\)_)"/>
    <numFmt numFmtId="251" formatCode="&quot;$&quot;&quot; &quot;#,##0_);\(&quot;$&quot;&quot; &quot;#,##0\);\-_)"/>
    <numFmt numFmtId="252" formatCode="0%_);\(0%\);\-_)"/>
    <numFmt numFmtId="253" formatCode="#,##0_);\(#,##0\);\-_)"/>
    <numFmt numFmtId="254" formatCode="&quot;$&quot;&quot; &quot;#,##0.0_);\(&quot;$&quot;&quot; &quot;#,##0.0\);\-_)"/>
    <numFmt numFmtId="255" formatCode="0.0%_);\(0.0%\);\-_)"/>
    <numFmt numFmtId="256" formatCode="#,##0.0_);\(#,##0.0\);\-_)"/>
    <numFmt numFmtId="257" formatCode="&quot;$&quot;&quot; &quot;#,##0.00_);\(&quot;$&quot;&quot; &quot;#,##0.00\);\-_)"/>
    <numFmt numFmtId="258" formatCode="0.00%_);\(0.00%\);\-_)"/>
    <numFmt numFmtId="259" formatCode="#,##0.00_);\(#,##0.00\);\-_)"/>
    <numFmt numFmtId="260" formatCode="0.0000000%"/>
    <numFmt numFmtId="261" formatCode="0.00000%"/>
    <numFmt numFmtId="262" formatCode="0.00&quot;x&quot;"/>
    <numFmt numFmtId="263" formatCode="_(&quot;$&quot;* #,##0.0_);_(&quot;$&quot;* \(#,##0.0\);_(&quot;$&quot;* &quot;-&quot;??_);_(@_)"/>
    <numFmt numFmtId="264" formatCode="&quot;$&quot;&quot; &quot;#,##0.0_);\(&quot;$&quot;&quot; &quot;#,##0.0\)"/>
    <numFmt numFmtId="265" formatCode="&quot;$&quot;&quot; &quot;#,##0.00_);\(&quot;$&quot;&quot; &quot;#,##0.00\)"/>
    <numFmt numFmtId="266" formatCode="&quot;$&quot;&quot; &quot;#,##0.000_);\(&quot;$&quot;&quot; &quot;#,##0.000\)"/>
    <numFmt numFmtId="267" formatCode="d\-mmm\-yy_)"/>
    <numFmt numFmtId="268" formatCode="m/d/yy_)"/>
    <numFmt numFmtId="269" formatCode="m/yy_)"/>
    <numFmt numFmtId="270" formatCode="mmm\-yy&quot; &quot;"/>
    <numFmt numFmtId="271" formatCode="* #,##0_%;* \-#,##0_%;* #,##0_%;@_%"/>
    <numFmt numFmtId="272" formatCode="#\ 0/0_)"/>
    <numFmt numFmtId="273" formatCode="#\ 0/8_)"/>
    <numFmt numFmtId="274" formatCode="#\ ?/?_)"/>
    <numFmt numFmtId="275" formatCode="0.0%_);\(0.0%\)"/>
    <numFmt numFmtId="276" formatCode="#,##0.00&quot; x&quot;"/>
    <numFmt numFmtId="277" formatCode="#,##0&quot;x&quot;_);\(#,##0&quot;x&quot;\)"/>
    <numFmt numFmtId="278" formatCode="#,##0.0&quot;x&quot;_);\(#,##0.0&quot;x&quot;\)"/>
    <numFmt numFmtId="279" formatCode="#,##0.00&quot;x&quot;_);\(#,##0.00&quot;x&quot;\)"/>
    <numFmt numFmtId="280" formatCode="\-_)\ "/>
    <numFmt numFmtId="281" formatCode="###0;\(###0\)"/>
    <numFmt numFmtId="282" formatCode="0%\ ;\-0%"/>
    <numFmt numFmtId="283" formatCode="_-* #,##0\ &quot;Pts&quot;_-;\-* #,##0\ &quot;Pts&quot;_-;_-* &quot;-&quot;\ &quot;Pts&quot;_-;_-@_-"/>
    <numFmt numFmtId="284" formatCode="_-* #,##0\ _P_t_s_-;\-* #,##0\ _P_t_s_-;_-* &quot;-&quot;\ _P_t_s_-;_-@_-"/>
    <numFmt numFmtId="285" formatCode="_-* #,##0.00\ &quot;Pts&quot;_-;\-* #,##0.00\ &quot;Pts&quot;_-;_-* &quot;-&quot;??\ &quot;Pts&quot;_-;_-@_-"/>
    <numFmt numFmtId="286" formatCode="_-* #,##0.00\ _P_t_s_-;\-* #,##0.00\ _P_t_s_-;_-* &quot;-&quot;??\ _P_t_s_-;_-@_-"/>
    <numFmt numFmtId="287" formatCode="&quot;\&quot;#,##0_);\(&quot;\&quot;#,##0\)"/>
    <numFmt numFmtId="288" formatCode="&quot;$&quot;#,##0.0_);\(&quot;$&quot;#,##0.0\)"/>
    <numFmt numFmtId="289" formatCode="_(* #,##0.00\ \x_);_(* \(#,##0.00\ \x\);_(* &quot;-&quot;??_);_(@_)"/>
    <numFmt numFmtId="290" formatCode="_(* #,##0\ \x_);_(* \(#,##0\ \x\);_(* &quot;-&quot;??_);_(@_)"/>
    <numFmt numFmtId="291" formatCode="_(* #,##0.0\ \x_);_(* \(#,##0.0\ \x\);_(* &quot;-&quot;??_);_(@_)"/>
    <numFmt numFmtId="292" formatCode="_(* #,##0.000000_);_(* \(#,##0.000000\);_(* &quot;-&quot;??_);_(@_)"/>
    <numFmt numFmtId="293" formatCode="hh:mm\ &quot;午&quot;&quot;前&quot;/&quot;午&quot;&quot;後&quot;_)"/>
    <numFmt numFmtId="294" formatCode="_(&quot;$&quot;* #,##0_);_(&quot;$&quot;* \(#,##0\);_(&quot;$&quot;* &quot;-&quot;??_);_(@_)"/>
    <numFmt numFmtId="295" formatCode="0.0000_)"/>
    <numFmt numFmtId="296" formatCode="#,##0.00\ &quot;DM&quot;;[Red]\-#,##0.00\ &quot;DM&quot;"/>
    <numFmt numFmtId="297" formatCode="#,##0&quot; F&quot;;\-#,##0&quot; F&quot;"/>
    <numFmt numFmtId="298" formatCode="0_)"/>
    <numFmt numFmtId="299" formatCode="&quot;$&quot;#,##0.0_);[Red]\(&quot;$&quot;#,##0.0\)"/>
    <numFmt numFmtId="300" formatCode="#,##0&quot; F&quot;;[Red]\-#,##0&quot; F&quot;"/>
    <numFmt numFmtId="301" formatCode="#,##0.00&quot; F&quot;;\-#,##0.00&quot; F&quot;"/>
    <numFmt numFmtId="302" formatCode="#,##0.00&quot; F&quot;;[Red]\-#,##0.00&quot; F&quot;"/>
    <numFmt numFmtId="303" formatCode="mm/yyyy"/>
    <numFmt numFmtId="304" formatCode="m/d/yyyy\ \ h:mm\ AM/PM"/>
    <numFmt numFmtId="305" formatCode="[&lt;=9999999]###\-####;\(###\)\ ###\-####"/>
    <numFmt numFmtId="306" formatCode="&quot;(&quot;0%&quot;)   &quot;;[Red]\-&quot;(&quot;0%&quot;)   &quot;;&quot;－    &quot;"/>
    <numFmt numFmtId="307" formatCode="&quot;(&quot;0.00%&quot;)   &quot;;[Red]\-&quot;(&quot;0.00%&quot;)   &quot;;&quot;－    &quot;"/>
    <numFmt numFmtId="308" formatCode="&quot;¥&quot;_(#,##0.00_);&quot;¥&quot;\(#,##0.00\);&quot;¥&quot;_(0.00_);@_)"/>
    <numFmt numFmtId="309" formatCode="&quot;¥&quot;_(#,##0.00_);&quot;¥&quot;\(#,##0.00\)"/>
    <numFmt numFmtId="310" formatCode="&quot;¥&quot;#,##0;&quot;¥&quot;\-#,##0"/>
    <numFmt numFmtId="311" formatCode="&quot;¥&quot;#,##0.0_);\(&quot;¥&quot;#,##0.0\)_)"/>
    <numFmt numFmtId="312" formatCode="\?\ \ @"/>
    <numFmt numFmtId="313" formatCode="&quot;$&quot;#,##0_);\(&quot;$&quot;#,##0.0\)"/>
    <numFmt numFmtId="314" formatCode="&quot;¥&quot;#,##0_);\(&quot;¥&quot;#,##0\)"/>
    <numFmt numFmtId="315" formatCode="\ \ _?&quot;?&quot;\ \ \ \ @"/>
    <numFmt numFmtId="316" formatCode="0.00%;[Red]\-0.00%;&quot;－&quot;"/>
    <numFmt numFmtId="317" formatCode="&quot;$&quot;#,##0"/>
  </numFmts>
  <fonts count="186">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sz val="10"/>
      <name val="Calibri"/>
      <family val="2"/>
    </font>
    <font>
      <sz val="9.4"/>
      <name val="Times New Roman"/>
      <family val="1"/>
    </font>
    <font>
      <b/>
      <sz val="13"/>
      <color indexed="62"/>
      <name val="Calibri"/>
      <family val="2"/>
    </font>
    <font>
      <sz val="11"/>
      <color indexed="62"/>
      <name val="Calibri"/>
      <family val="2"/>
    </font>
    <font>
      <sz val="11"/>
      <color indexed="8"/>
      <name val="Arial Narrow"/>
      <family val="2"/>
    </font>
    <font>
      <sz val="8"/>
      <color indexed="8"/>
      <name val="Times New Roman"/>
      <family val="1"/>
    </font>
    <font>
      <sz val="10"/>
      <color indexed="8"/>
      <name val="Times New Roman"/>
      <family val="1"/>
    </font>
    <font>
      <sz val="7"/>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
      <sz val="8"/>
      <color rgb="FF000000"/>
      <name val="Times New Roman"/>
      <family val="1"/>
    </font>
    <font>
      <sz val="9"/>
      <color rgb="FF000000"/>
      <name val="Arial"/>
      <family val="2"/>
    </font>
    <font>
      <sz val="10"/>
      <color rgb="FF000000"/>
      <name val="Times New Roman"/>
      <family val="1"/>
    </font>
    <font>
      <sz val="8"/>
      <color rgb="FF000000"/>
      <name val="Arial"/>
      <family val="2"/>
    </font>
    <font>
      <b/>
      <sz val="8"/>
      <name val="Arial"/>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5">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color indexed="63"/>
      </left>
      <right/>
      <top style="thin">
        <color indexed="8"/>
      </top>
      <bottom/>
    </border>
    <border>
      <left style="thin">
        <color rgb="FF999999"/>
      </left>
      <right/>
      <top style="thin">
        <color rgb="FF999999"/>
      </top>
      <bottom/>
    </border>
    <border>
      <left style="thin">
        <color rgb="FF999999"/>
      </left>
      <right/>
      <top/>
      <botto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4" fontId="79" fillId="0" borderId="0">
      <alignment/>
      <protection/>
    </xf>
    <xf numFmtId="176" fontId="80" fillId="0" borderId="1" applyFill="0" applyBorder="0" applyProtection="0">
      <alignment/>
    </xf>
    <xf numFmtId="245" fontId="4" fillId="0" borderId="0">
      <alignment/>
      <protection/>
    </xf>
    <xf numFmtId="223" fontId="4" fillId="0" borderId="0" applyFont="0" applyFill="0" applyBorder="0" applyAlignment="0">
      <protection/>
    </xf>
    <xf numFmtId="168" fontId="0" fillId="0" borderId="0" applyFont="0" applyFill="0" applyBorder="0" applyAlignment="0" applyProtection="0"/>
    <xf numFmtId="0" fontId="36" fillId="0" borderId="0" applyFont="0" applyFill="0" applyBorder="0" applyAlignment="0" applyProtection="0"/>
    <xf numFmtId="216" fontId="8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9" fontId="38" fillId="0" borderId="0" applyFont="0" applyFill="0" applyBorder="0" applyAlignment="0" applyProtection="0"/>
    <xf numFmtId="210" fontId="38" fillId="0" borderId="0" applyFont="0" applyFill="0" applyBorder="0" applyAlignment="0" applyProtection="0"/>
    <xf numFmtId="0" fontId="85" fillId="0" borderId="0">
      <alignment/>
      <protection/>
    </xf>
    <xf numFmtId="0" fontId="86" fillId="0" borderId="0">
      <alignment/>
      <protection/>
    </xf>
    <xf numFmtId="246" fontId="38" fillId="0" borderId="0" applyFont="0" applyFill="0" applyBorder="0" applyAlignment="0" applyProtection="0"/>
    <xf numFmtId="197" fontId="39"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293"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223" fontId="4" fillId="0" borderId="0" applyFont="0" applyFill="0" applyBorder="0" applyAlignment="0" applyProtection="0"/>
    <xf numFmtId="198"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93" fontId="39" fillId="0" borderId="0" applyFont="0" applyFill="0" applyBorder="0" applyAlignment="0" applyProtection="0"/>
    <xf numFmtId="178"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78" fontId="39" fillId="0" borderId="0" applyFont="0" applyFill="0" applyBorder="0" applyAlignment="0" applyProtection="0"/>
    <xf numFmtId="193"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0" fillId="0" borderId="0" applyFont="0" applyFill="0" applyBorder="0" applyAlignment="0" applyProtection="0"/>
    <xf numFmtId="178" fontId="0" fillId="0" borderId="0" applyFont="0" applyFill="0" applyBorder="0" applyAlignment="0" applyProtection="0"/>
    <xf numFmtId="193" fontId="39" fillId="0" borderId="0" applyFont="0" applyFill="0" applyBorder="0" applyAlignment="0" applyProtection="0"/>
    <xf numFmtId="178" fontId="39" fillId="0" borderId="0" applyFont="0" applyFill="0" applyBorder="0" applyAlignment="0" applyProtection="0"/>
    <xf numFmtId="193" fontId="39" fillId="0" borderId="0" applyFont="0" applyFill="0" applyBorder="0" applyAlignment="0" applyProtection="0"/>
    <xf numFmtId="178" fontId="0" fillId="0" borderId="0" applyFont="0" applyFill="0" applyBorder="0" applyAlignment="0" applyProtection="0"/>
    <xf numFmtId="193" fontId="39" fillId="0" borderId="0" applyFont="0" applyFill="0" applyBorder="0" applyAlignment="0" applyProtection="0"/>
    <xf numFmtId="178" fontId="0" fillId="0" borderId="0" applyFont="0" applyFill="0" applyBorder="0" applyAlignment="0" applyProtection="0"/>
    <xf numFmtId="178" fontId="39" fillId="0" borderId="0" applyFont="0" applyFill="0" applyBorder="0" applyAlignment="0" applyProtection="0"/>
    <xf numFmtId="176" fontId="4"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78" fontId="39"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39" fillId="0" borderId="0" applyFont="0" applyFill="0" applyBorder="0" applyAlignment="0" applyProtection="0"/>
    <xf numFmtId="0" fontId="0" fillId="0" borderId="0" applyFont="0" applyFill="0" applyBorder="0" applyAlignment="0" applyProtection="0"/>
    <xf numFmtId="193" fontId="39" fillId="0" borderId="0" applyFont="0" applyFill="0" applyBorder="0" applyAlignment="0" applyProtection="0"/>
    <xf numFmtId="178"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309" fontId="39" fillId="0" borderId="0" applyFont="0" applyFill="0" applyBorder="0" applyAlignment="0" applyProtection="0"/>
    <xf numFmtId="247" fontId="0"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02" fontId="39"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202" fontId="39" fillId="0" borderId="0" applyFont="0" applyFill="0" applyBorder="0" applyAlignment="0" applyProtection="0"/>
    <xf numFmtId="309" fontId="39" fillId="0" borderId="0" applyFont="0" applyFill="0" applyBorder="0" applyAlignment="0" applyProtection="0"/>
    <xf numFmtId="210" fontId="0" fillId="0" borderId="0" applyFont="0" applyFill="0" applyBorder="0" applyAlignment="0" applyProtection="0"/>
    <xf numFmtId="210" fontId="0" fillId="0" borderId="0" applyFont="0" applyFill="0" applyBorder="0" applyAlignment="0" applyProtection="0"/>
    <xf numFmtId="294" fontId="4" fillId="0" borderId="0" applyFont="0" applyFill="0" applyBorder="0" applyAlignment="0" applyProtection="0"/>
    <xf numFmtId="202" fontId="39" fillId="0" borderId="0" applyFont="0" applyFill="0" applyBorder="0" applyAlignment="0" applyProtection="0"/>
    <xf numFmtId="309" fontId="39" fillId="0" borderId="0" applyFont="0" applyFill="0" applyBorder="0" applyAlignment="0" applyProtection="0"/>
    <xf numFmtId="181" fontId="4" fillId="0" borderId="0" applyFont="0" applyFill="0" applyBorder="0" applyAlignment="0" applyProtection="0"/>
    <xf numFmtId="295" fontId="4" fillId="0" borderId="0" applyFont="0" applyFill="0" applyBorder="0" applyAlignment="0" applyProtection="0"/>
    <xf numFmtId="202" fontId="39" fillId="0" borderId="0" applyFont="0" applyFill="0" applyBorder="0" applyAlignment="0" applyProtection="0"/>
    <xf numFmtId="309" fontId="39" fillId="0" borderId="0" applyFont="0" applyFill="0" applyBorder="0" applyAlignment="0" applyProtection="0"/>
    <xf numFmtId="194" fontId="0" fillId="0" borderId="0" applyFont="0" applyFill="0" applyBorder="0" applyAlignment="0" applyProtection="0"/>
    <xf numFmtId="308" fontId="0"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0" fontId="0"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38" fontId="0" fillId="0" borderId="0" applyFont="0" applyFill="0" applyBorder="0" applyAlignment="0" applyProtection="0"/>
    <xf numFmtId="201" fontId="39" fillId="0" borderId="0" applyFont="0" applyFill="0" applyBorder="0" applyAlignment="0" applyProtection="0"/>
    <xf numFmtId="202" fontId="39" fillId="0" borderId="0" applyFont="0" applyFill="0" applyBorder="0" applyAlignment="0" applyProtection="0"/>
    <xf numFmtId="309" fontId="3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1" fontId="39" fillId="0" borderId="0" applyFont="0" applyFill="0" applyBorder="0" applyAlignment="0" applyProtection="0"/>
    <xf numFmtId="247" fontId="0" fillId="0" borderId="0" applyFont="0" applyFill="0" applyBorder="0" applyAlignment="0" applyProtection="0"/>
    <xf numFmtId="201" fontId="39" fillId="0" borderId="0" applyFont="0" applyFill="0" applyBorder="0" applyAlignment="0" applyProtection="0"/>
    <xf numFmtId="247" fontId="0" fillId="0" borderId="0" applyFont="0" applyFill="0" applyBorder="0" applyAlignment="0" applyProtection="0"/>
    <xf numFmtId="0" fontId="38" fillId="0" borderId="0" applyFont="0" applyFill="0" applyBorder="0" applyAlignment="0" applyProtection="0"/>
    <xf numFmtId="236" fontId="38" fillId="0" borderId="0" applyFont="0" applyFill="0" applyBorder="0" applyAlignment="0" applyProtection="0"/>
    <xf numFmtId="236" fontId="38" fillId="0" borderId="0" applyFont="0" applyFill="0" applyBorder="0" applyAlignment="0" applyProtection="0"/>
    <xf numFmtId="220" fontId="4"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296" fontId="4" fillId="0" borderId="0" applyFont="0" applyFill="0" applyBorder="0" applyAlignment="0" applyProtection="0"/>
    <xf numFmtId="201" fontId="39" fillId="0" borderId="0" applyFont="0" applyFill="0" applyBorder="0" applyAlignment="0" applyProtection="0"/>
    <xf numFmtId="202" fontId="39" fillId="0" borderId="0" applyFont="0" applyFill="0" applyBorder="0" applyAlignment="0" applyProtection="0"/>
    <xf numFmtId="309" fontId="39" fillId="0" borderId="0" applyFont="0" applyFill="0" applyBorder="0" applyAlignment="0" applyProtection="0"/>
    <xf numFmtId="247" fontId="0" fillId="0" borderId="0" applyFont="0" applyFill="0" applyBorder="0" applyAlignment="0" applyProtection="0"/>
    <xf numFmtId="201" fontId="39" fillId="0" borderId="0" applyFont="0" applyFill="0" applyBorder="0" applyAlignment="0" applyProtection="0"/>
    <xf numFmtId="238" fontId="0"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87" fillId="0" borderId="0" applyFont="0" applyFill="0" applyBorder="0" applyAlignment="0" applyProtection="0"/>
    <xf numFmtId="308" fontId="87"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0" fontId="0"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202" fontId="39" fillId="0" borderId="0" applyFont="0" applyFill="0" applyBorder="0" applyAlignment="0" applyProtection="0"/>
    <xf numFmtId="309" fontId="39"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194" fontId="39" fillId="0" borderId="0" applyFont="0" applyFill="0" applyBorder="0" applyAlignment="0" applyProtection="0"/>
    <xf numFmtId="308" fontId="39" fillId="0" borderId="0" applyFont="0" applyFill="0" applyBorder="0" applyAlignment="0" applyProtection="0"/>
    <xf numFmtId="195" fontId="39" fillId="0" borderId="0" applyFont="0" applyFill="0" applyBorder="0" applyAlignment="0" applyProtection="0"/>
    <xf numFmtId="39"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39" fontId="39" fillId="0" borderId="0" applyFont="0" applyFill="0" applyBorder="0" applyAlignment="0" applyProtection="0"/>
    <xf numFmtId="195"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5" fontId="39" fillId="0" borderId="0" applyFont="0" applyFill="0" applyBorder="0" applyAlignment="0" applyProtection="0"/>
    <xf numFmtId="39" fontId="39" fillId="0" borderId="0" applyFont="0" applyFill="0" applyBorder="0" applyAlignment="0" applyProtection="0"/>
    <xf numFmtId="195" fontId="39" fillId="0" borderId="0" applyFont="0" applyFill="0" applyBorder="0" applyAlignment="0" applyProtection="0"/>
    <xf numFmtId="39" fontId="0" fillId="0" borderId="0" applyFont="0" applyFill="0" applyBorder="0" applyAlignment="0" applyProtection="0"/>
    <xf numFmtId="195" fontId="39" fillId="0" borderId="0" applyFont="0" applyFill="0" applyBorder="0" applyAlignment="0" applyProtection="0"/>
    <xf numFmtId="39" fontId="0" fillId="0" borderId="0" applyFont="0" applyFill="0" applyBorder="0" applyAlignment="0" applyProtection="0"/>
    <xf numFmtId="237" fontId="4"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87" fillId="0" borderId="0" applyFont="0" applyFill="0" applyBorder="0" applyAlignment="0" applyProtection="0"/>
    <xf numFmtId="195" fontId="39" fillId="0" borderId="0" applyFont="0" applyFill="0" applyBorder="0" applyAlignment="0" applyProtection="0"/>
    <xf numFmtId="39" fontId="0" fillId="0" borderId="0" applyFont="0" applyFill="0" applyBorder="0" applyAlignment="0" applyProtection="0"/>
    <xf numFmtId="195" fontId="39" fillId="0" borderId="0" applyFont="0" applyFill="0" applyBorder="0" applyAlignment="0" applyProtection="0"/>
    <xf numFmtId="39" fontId="39" fillId="0" borderId="0" applyFont="0" applyFill="0" applyBorder="0" applyAlignment="0" applyProtection="0"/>
    <xf numFmtId="195" fontId="39" fillId="0" borderId="0" applyFont="0" applyFill="0" applyBorder="0" applyAlignment="0" applyProtection="0"/>
    <xf numFmtId="195"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36" fontId="4"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213" fontId="39" fillId="0" borderId="0" applyFont="0" applyFill="0" applyBorder="0" applyAlignment="0" applyProtection="0"/>
    <xf numFmtId="196" fontId="39" fillId="0" borderId="0" applyFont="0" applyFill="0" applyBorder="0" applyAlignment="0" applyProtection="0"/>
    <xf numFmtId="213"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92" fontId="39" fillId="0" borderId="0" applyFont="0" applyFill="0" applyBorder="0" applyAlignment="0" applyProtection="0"/>
    <xf numFmtId="203"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3" fontId="39" fillId="0" borderId="0" applyFont="0" applyFill="0" applyBorder="0" applyAlignment="0" applyProtection="0"/>
    <xf numFmtId="192" fontId="39" fillId="0" borderId="0" applyFont="0" applyFill="0" applyBorder="0" applyAlignment="0" applyProtection="0"/>
    <xf numFmtId="203" fontId="39" fillId="0" borderId="0" applyFont="0" applyFill="0" applyBorder="0" applyAlignment="0" applyProtection="0"/>
    <xf numFmtId="288" fontId="4" fillId="0" borderId="0" applyFont="0" applyFill="0" applyBorder="0" applyAlignment="0" applyProtection="0"/>
    <xf numFmtId="203" fontId="39"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03" fontId="39" fillId="0" borderId="0" applyFont="0" applyFill="0" applyBorder="0" applyAlignment="0" applyProtection="0"/>
    <xf numFmtId="0" fontId="0" fillId="0" borderId="0" applyFont="0" applyFill="0" applyBorder="0" applyAlignment="0" applyProtection="0"/>
    <xf numFmtId="239" fontId="0" fillId="0" borderId="0" applyFont="0" applyFill="0" applyBorder="0" applyAlignment="0" applyProtection="0"/>
    <xf numFmtId="192" fontId="39" fillId="0" borderId="0" applyFont="0" applyFill="0" applyBorder="0" applyAlignment="0" applyProtection="0"/>
    <xf numFmtId="203" fontId="39" fillId="0" borderId="0" applyFont="0" applyFill="0" applyBorder="0" applyAlignment="0" applyProtection="0"/>
    <xf numFmtId="192" fontId="39" fillId="0" borderId="0" applyFont="0" applyFill="0" applyBorder="0" applyAlignment="0" applyProtection="0"/>
    <xf numFmtId="203" fontId="0" fillId="0" borderId="0" applyFont="0" applyFill="0" applyBorder="0" applyAlignment="0" applyProtection="0"/>
    <xf numFmtId="192" fontId="39" fillId="0" borderId="0" applyFont="0" applyFill="0" applyBorder="0" applyAlignment="0" applyProtection="0"/>
    <xf numFmtId="203" fontId="0" fillId="0" borderId="0" applyFont="0" applyFill="0" applyBorder="0" applyAlignment="0" applyProtection="0"/>
    <xf numFmtId="0" fontId="38" fillId="0" borderId="0" applyFont="0" applyFill="0" applyBorder="0" applyAlignment="0" applyProtection="0"/>
    <xf numFmtId="176" fontId="38" fillId="0" borderId="0" applyFont="0" applyFill="0" applyBorder="0" applyAlignment="0" applyProtection="0"/>
    <xf numFmtId="176" fontId="38" fillId="0" borderId="0" applyFont="0" applyFill="0" applyBorder="0" applyAlignment="0" applyProtection="0"/>
    <xf numFmtId="292" fontId="4"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97" fontId="4" fillId="0" borderId="0" applyFont="0" applyFill="0" applyBorder="0" applyAlignment="0" applyProtection="0"/>
    <xf numFmtId="203" fontId="39" fillId="0" borderId="0" applyFont="0" applyFill="0" applyBorder="0" applyAlignment="0" applyProtection="0"/>
    <xf numFmtId="203" fontId="0" fillId="0" borderId="0" applyFont="0" applyFill="0" applyBorder="0" applyAlignment="0" applyProtection="0"/>
    <xf numFmtId="239" fontId="0"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87" fillId="0" borderId="0" applyFont="0" applyFill="0" applyBorder="0" applyAlignment="0" applyProtection="0"/>
    <xf numFmtId="192" fontId="39" fillId="0" borderId="0" applyFont="0" applyFill="0" applyBorder="0" applyAlignment="0" applyProtection="0"/>
    <xf numFmtId="0" fontId="0" fillId="0" borderId="0" applyFont="0" applyFill="0" applyBorder="0" applyAlignment="0" applyProtection="0"/>
    <xf numFmtId="192" fontId="39" fillId="0" borderId="0" applyFont="0" applyFill="0" applyBorder="0" applyAlignment="0" applyProtection="0"/>
    <xf numFmtId="203"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9" fontId="39" fillId="0" borderId="0" applyFont="0" applyFill="0" applyBorder="0" applyProtection="0">
      <alignment horizontal="right"/>
    </xf>
    <xf numFmtId="204" fontId="39" fillId="0" borderId="0" applyFont="0" applyFill="0" applyBorder="0" applyAlignment="0" applyProtection="0"/>
    <xf numFmtId="199" fontId="39" fillId="0" borderId="0" applyFont="0" applyFill="0" applyBorder="0" applyProtection="0">
      <alignment horizontal="right"/>
    </xf>
    <xf numFmtId="199" fontId="39" fillId="0" borderId="0" applyFont="0" applyFill="0" applyBorder="0" applyProtection="0">
      <alignment horizontal="right"/>
    </xf>
    <xf numFmtId="199" fontId="39" fillId="0" borderId="0" applyFont="0" applyFill="0" applyBorder="0" applyProtection="0">
      <alignment horizontal="right"/>
    </xf>
    <xf numFmtId="204" fontId="39" fillId="0" borderId="0" applyFont="0" applyFill="0" applyBorder="0" applyAlignment="0" applyProtection="0"/>
    <xf numFmtId="199" fontId="39" fillId="0" borderId="0" applyFont="0" applyFill="0" applyBorder="0" applyProtection="0">
      <alignment horizontal="right"/>
    </xf>
    <xf numFmtId="204" fontId="39" fillId="0" borderId="0" applyFont="0" applyFill="0" applyBorder="0" applyAlignment="0" applyProtection="0"/>
    <xf numFmtId="298" fontId="4" fillId="0" borderId="0" applyFont="0" applyFill="0" applyBorder="0" applyAlignment="0" applyProtection="0"/>
    <xf numFmtId="204" fontId="39" fillId="0" borderId="0" applyFont="0" applyFill="0" applyBorder="0" applyAlignment="0" applyProtection="0"/>
    <xf numFmtId="240" fontId="0" fillId="0" borderId="0" applyFont="0" applyFill="0" applyBorder="0" applyAlignment="0" applyProtection="0"/>
    <xf numFmtId="240" fontId="0" fillId="0" borderId="0" applyFont="0" applyFill="0" applyBorder="0" applyAlignment="0" applyProtection="0"/>
    <xf numFmtId="204" fontId="39" fillId="0" borderId="0" applyFont="0" applyFill="0" applyBorder="0" applyAlignment="0" applyProtection="0"/>
    <xf numFmtId="0" fontId="0" fillId="0" borderId="0" applyFont="0" applyFill="0" applyBorder="0" applyAlignment="0" applyProtection="0"/>
    <xf numFmtId="240" fontId="0" fillId="0" borderId="0" applyFont="0" applyFill="0" applyBorder="0" applyAlignment="0" applyProtection="0"/>
    <xf numFmtId="199" fontId="39" fillId="0" borderId="0" applyFont="0" applyFill="0" applyBorder="0" applyProtection="0">
      <alignment horizontal="right"/>
    </xf>
    <xf numFmtId="204" fontId="39" fillId="0" borderId="0" applyFont="0" applyFill="0" applyBorder="0" applyAlignment="0" applyProtection="0"/>
    <xf numFmtId="199" fontId="39" fillId="0" borderId="0" applyFont="0" applyFill="0" applyBorder="0" applyProtection="0">
      <alignment horizontal="right"/>
    </xf>
    <xf numFmtId="204" fontId="0" fillId="0" borderId="0" applyFont="0" applyFill="0" applyBorder="0" applyAlignment="0" applyProtection="0"/>
    <xf numFmtId="199" fontId="39" fillId="0" borderId="0" applyFont="0" applyFill="0" applyBorder="0" applyProtection="0">
      <alignment horizontal="right"/>
    </xf>
    <xf numFmtId="204" fontId="0" fillId="0" borderId="0" applyFont="0" applyFill="0" applyBorder="0" applyAlignment="0" applyProtection="0"/>
    <xf numFmtId="0"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299" fontId="4" fillId="0" borderId="0" applyFont="0" applyFill="0" applyBorder="0" applyProtection="0">
      <alignment horizontal="right"/>
    </xf>
    <xf numFmtId="199" fontId="39" fillId="0" borderId="0" applyFont="0" applyFill="0" applyBorder="0" applyProtection="0">
      <alignment horizontal="right"/>
    </xf>
    <xf numFmtId="199" fontId="39" fillId="0" borderId="0" applyFont="0" applyFill="0" applyBorder="0" applyProtection="0">
      <alignment horizontal="right"/>
    </xf>
    <xf numFmtId="199" fontId="39" fillId="0" borderId="0" applyFont="0" applyFill="0" applyBorder="0" applyProtection="0">
      <alignment horizontal="right"/>
    </xf>
    <xf numFmtId="300" fontId="4" fillId="0" borderId="0" applyFont="0" applyFill="0" applyBorder="0" applyAlignment="0" applyProtection="0"/>
    <xf numFmtId="204" fontId="39" fillId="0" borderId="0" applyFont="0" applyFill="0" applyBorder="0" applyAlignment="0" applyProtection="0"/>
    <xf numFmtId="204" fontId="0" fillId="0" borderId="0" applyFont="0" applyFill="0" applyBorder="0" applyAlignment="0" applyProtection="0"/>
    <xf numFmtId="240" fontId="0" fillId="0" borderId="0" applyFont="0" applyFill="0" applyBorder="0" applyAlignment="0" applyProtection="0"/>
    <xf numFmtId="199" fontId="87" fillId="0" borderId="0" applyFont="0" applyFill="0" applyBorder="0" applyProtection="0">
      <alignment horizontal="right"/>
    </xf>
    <xf numFmtId="199" fontId="87" fillId="0" borderId="0" applyFont="0" applyFill="0" applyBorder="0" applyProtection="0">
      <alignment horizontal="right"/>
    </xf>
    <xf numFmtId="199" fontId="87" fillId="0" borderId="0" applyFont="0" applyFill="0" applyBorder="0" applyProtection="0">
      <alignment horizontal="right"/>
    </xf>
    <xf numFmtId="199" fontId="87" fillId="0" borderId="0" applyFont="0" applyFill="0" applyBorder="0" applyProtection="0">
      <alignment horizontal="right"/>
    </xf>
    <xf numFmtId="199" fontId="87" fillId="0" borderId="0" applyFont="0" applyFill="0" applyBorder="0" applyProtection="0">
      <alignment horizontal="right"/>
    </xf>
    <xf numFmtId="199" fontId="87" fillId="0" borderId="0" applyFont="0" applyFill="0" applyBorder="0" applyProtection="0">
      <alignment horizontal="right"/>
    </xf>
    <xf numFmtId="199" fontId="87" fillId="0" borderId="0" applyFont="0" applyFill="0" applyBorder="0" applyProtection="0">
      <alignment horizontal="right"/>
    </xf>
    <xf numFmtId="199" fontId="87" fillId="0" borderId="0" applyFont="0" applyFill="0" applyBorder="0" applyProtection="0">
      <alignment horizontal="right"/>
    </xf>
    <xf numFmtId="199" fontId="87" fillId="0" borderId="0" applyFont="0" applyFill="0" applyBorder="0" applyProtection="0">
      <alignment horizontal="right"/>
    </xf>
    <xf numFmtId="199" fontId="87" fillId="0" borderId="0" applyFont="0" applyFill="0" applyBorder="0" applyProtection="0">
      <alignment horizontal="right"/>
    </xf>
    <xf numFmtId="199" fontId="87" fillId="0" borderId="0" applyFont="0" applyFill="0" applyBorder="0" applyProtection="0">
      <alignment horizontal="right"/>
    </xf>
    <xf numFmtId="199" fontId="39" fillId="0" borderId="0" applyFont="0" applyFill="0" applyBorder="0" applyProtection="0">
      <alignment horizontal="right"/>
    </xf>
    <xf numFmtId="0" fontId="0" fillId="0" borderId="0" applyFont="0" applyFill="0" applyBorder="0" applyAlignment="0" applyProtection="0"/>
    <xf numFmtId="199" fontId="39" fillId="0" borderId="0" applyFont="0" applyFill="0" applyBorder="0" applyProtection="0">
      <alignment horizontal="right"/>
    </xf>
    <xf numFmtId="204" fontId="39" fillId="0" borderId="0" applyFont="0" applyFill="0" applyBorder="0" applyAlignment="0" applyProtection="0"/>
    <xf numFmtId="199" fontId="39" fillId="0" borderId="0" applyFont="0" applyFill="0" applyBorder="0" applyProtection="0">
      <alignment horizontal="right"/>
    </xf>
    <xf numFmtId="199" fontId="39" fillId="0" borderId="0" applyFont="0" applyFill="0" applyBorder="0" applyProtection="0">
      <alignment horizontal="right"/>
    </xf>
    <xf numFmtId="205" fontId="39" fillId="0" borderId="0" applyFont="0" applyFill="0" applyBorder="0" applyAlignment="0" applyProtection="0"/>
    <xf numFmtId="205" fontId="39" fillId="0" borderId="0" applyFont="0" applyFill="0" applyBorder="0" applyAlignment="0" applyProtection="0"/>
    <xf numFmtId="241" fontId="0" fillId="0" borderId="0" applyFont="0" applyFill="0" applyBorder="0" applyAlignment="0" applyProtection="0"/>
    <xf numFmtId="241" fontId="0" fillId="0" borderId="0" applyFont="0" applyFill="0" applyBorder="0" applyAlignment="0" applyProtection="0"/>
    <xf numFmtId="0" fontId="0" fillId="0" borderId="0" applyFont="0" applyFill="0" applyBorder="0" applyAlignment="0" applyProtection="0"/>
    <xf numFmtId="241" fontId="0" fillId="0" borderId="0" applyFont="0" applyFill="0" applyBorder="0" applyAlignment="0" applyProtection="0"/>
    <xf numFmtId="0"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95" fontId="4" fillId="0" borderId="0" applyFont="0" applyFill="0" applyBorder="0" applyAlignment="0" applyProtection="0"/>
    <xf numFmtId="205" fontId="39" fillId="0" borderId="0" applyFont="0" applyFill="0" applyBorder="0" applyAlignment="0" applyProtection="0"/>
    <xf numFmtId="205" fontId="39" fillId="0" borderId="0" applyFont="0" applyFill="0" applyBorder="0" applyAlignment="0" applyProtection="0"/>
    <xf numFmtId="301" fontId="4" fillId="0" borderId="0" applyFont="0" applyFill="0" applyBorder="0" applyAlignment="0" applyProtection="0"/>
    <xf numFmtId="241" fontId="0" fillId="0" borderId="0" applyFont="0" applyFill="0" applyBorder="0" applyAlignment="0" applyProtection="0"/>
    <xf numFmtId="0" fontId="0" fillId="0" borderId="0" applyFont="0" applyFill="0" applyBorder="0" applyAlignment="0" applyProtection="0"/>
    <xf numFmtId="206" fontId="39" fillId="0" borderId="0" applyFont="0" applyFill="0" applyBorder="0" applyAlignment="0" applyProtection="0"/>
    <xf numFmtId="206" fontId="39" fillId="0" borderId="0" applyFont="0" applyFill="0" applyBorder="0" applyAlignment="0" applyProtection="0"/>
    <xf numFmtId="242" fontId="0" fillId="0" borderId="0" applyFont="0" applyFill="0" applyBorder="0" applyAlignment="0" applyProtection="0"/>
    <xf numFmtId="242" fontId="0" fillId="0" borderId="0" applyFont="0" applyFill="0" applyBorder="0" applyAlignment="0" applyProtection="0"/>
    <xf numFmtId="0" fontId="0" fillId="0" borderId="0" applyFont="0" applyFill="0" applyBorder="0" applyAlignment="0" applyProtection="0"/>
    <xf numFmtId="242" fontId="0" fillId="0" borderId="0" applyFont="0" applyFill="0" applyBorder="0" applyAlignment="0" applyProtection="0"/>
    <xf numFmtId="0" fontId="38" fillId="0" borderId="0" applyFont="0" applyFill="0" applyBorder="0" applyAlignment="0" applyProtection="0"/>
    <xf numFmtId="237" fontId="38" fillId="0" borderId="0" applyFont="0" applyFill="0" applyBorder="0" applyAlignment="0" applyProtection="0"/>
    <xf numFmtId="237" fontId="38" fillId="0" borderId="0" applyFont="0" applyFill="0" applyBorder="0" applyAlignment="0" applyProtection="0"/>
    <xf numFmtId="223" fontId="4" fillId="0" borderId="0" applyFont="0" applyFill="0" applyBorder="0" applyAlignment="0" applyProtection="0"/>
    <xf numFmtId="181" fontId="4" fillId="0" borderId="0" applyFont="0" applyFill="0" applyBorder="0" applyAlignment="0" applyProtection="0"/>
    <xf numFmtId="206" fontId="39" fillId="0" borderId="0" applyFont="0" applyFill="0" applyBorder="0" applyAlignment="0" applyProtection="0"/>
    <xf numFmtId="206" fontId="39" fillId="0" borderId="0" applyFont="0" applyFill="0" applyBorder="0" applyAlignment="0" applyProtection="0"/>
    <xf numFmtId="302" fontId="4" fillId="0" borderId="0" applyFont="0" applyFill="0" applyBorder="0" applyAlignment="0" applyProtection="0"/>
    <xf numFmtId="242"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8" fontId="38" fillId="0" borderId="0" applyFont="0" applyFill="0" applyBorder="0" applyAlignment="0" applyProtection="0"/>
    <xf numFmtId="249" fontId="38" fillId="0" borderId="0" applyFont="0" applyFill="0" applyBorder="0" applyAlignment="0" applyProtection="0"/>
    <xf numFmtId="250" fontId="79" fillId="0" borderId="0">
      <alignment/>
      <protection/>
    </xf>
    <xf numFmtId="311"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7"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7"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7"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7"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7"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7"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7"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7"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7"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7"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7"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7"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32" fontId="53" fillId="0" borderId="0">
      <alignment horizontal="center"/>
      <protection/>
    </xf>
    <xf numFmtId="0" fontId="168"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8"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8"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8"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8"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8"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8"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8"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8"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8"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8"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8"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9"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4" fillId="0" borderId="0" applyFont="0" applyFill="0" applyBorder="0" applyAlignment="0" applyProtection="0"/>
    <xf numFmtId="258" fontId="4" fillId="0" borderId="0" applyFont="0" applyFill="0" applyBorder="0" applyAlignment="0" applyProtection="0"/>
    <xf numFmtId="259" fontId="4" fillId="0" borderId="0" applyFont="0" applyFill="0" applyBorder="0" applyAlignment="0" applyProtection="0"/>
    <xf numFmtId="260" fontId="0" fillId="0" borderId="0" applyFont="0" applyFill="0" applyBorder="0" applyAlignment="0" applyProtection="0"/>
    <xf numFmtId="200" fontId="0" fillId="0" borderId="0" applyFont="0" applyFill="0" applyBorder="0" applyAlignment="0" applyProtection="0"/>
    <xf numFmtId="261" fontId="0" fillId="0" borderId="0" applyFont="0" applyFill="0" applyBorder="0" applyAlignment="0" applyProtection="0"/>
    <xf numFmtId="262" fontId="0" fillId="0" borderId="0" applyFont="0" applyFill="0" applyBorder="0" applyAlignment="0" applyProtection="0"/>
    <xf numFmtId="263"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22" fontId="98" fillId="36" borderId="0">
      <alignment/>
      <protection/>
    </xf>
    <xf numFmtId="211" fontId="38" fillId="0" borderId="0" applyFont="0" applyFill="0" applyBorder="0" applyAlignment="0" applyProtection="0"/>
    <xf numFmtId="312" fontId="38" fillId="0" borderId="0" applyFont="0" applyFill="0" applyBorder="0" applyAlignment="0" applyProtection="0"/>
    <xf numFmtId="0" fontId="36" fillId="0" borderId="0" applyFill="0" applyBorder="0" applyAlignment="0">
      <protection/>
    </xf>
    <xf numFmtId="313" fontId="0" fillId="0" borderId="0" applyFill="0" applyBorder="0" applyAlignment="0">
      <protection/>
    </xf>
    <xf numFmtId="233" fontId="0" fillId="0" borderId="0" applyFill="0" applyBorder="0" applyAlignment="0">
      <protection/>
    </xf>
    <xf numFmtId="235" fontId="99" fillId="0" borderId="0" applyFill="0" applyBorder="0" applyAlignment="0">
      <protection/>
    </xf>
    <xf numFmtId="221" fontId="99" fillId="0" borderId="0" applyFill="0" applyBorder="0" applyAlignment="0">
      <protection/>
    </xf>
    <xf numFmtId="186" fontId="38" fillId="0" borderId="0" applyFill="0" applyBorder="0" applyAlignment="0">
      <protection/>
    </xf>
    <xf numFmtId="234" fontId="99" fillId="0" borderId="0" applyFill="0" applyBorder="0" applyAlignment="0">
      <protection/>
    </xf>
    <xf numFmtId="224" fontId="99" fillId="0" borderId="0" applyFill="0" applyBorder="0" applyAlignment="0">
      <protection/>
    </xf>
    <xf numFmtId="233" fontId="0" fillId="0" borderId="0" applyFill="0" applyBorder="0" applyAlignment="0">
      <protection/>
    </xf>
    <xf numFmtId="0" fontId="170"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71"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12" fontId="48" fillId="0" borderId="0">
      <alignment/>
      <protection/>
    </xf>
    <xf numFmtId="174" fontId="53" fillId="0" borderId="0">
      <alignment/>
      <protection/>
    </xf>
    <xf numFmtId="212" fontId="48" fillId="0" borderId="0">
      <alignment/>
      <protection/>
    </xf>
    <xf numFmtId="174" fontId="53" fillId="0" borderId="0">
      <alignment/>
      <protection/>
    </xf>
    <xf numFmtId="212" fontId="48" fillId="0" borderId="0">
      <alignment/>
      <protection/>
    </xf>
    <xf numFmtId="174" fontId="53" fillId="0" borderId="0">
      <alignment/>
      <protection/>
    </xf>
    <xf numFmtId="212" fontId="48" fillId="0" borderId="0">
      <alignment/>
      <protection/>
    </xf>
    <xf numFmtId="174" fontId="53" fillId="0" borderId="0">
      <alignment/>
      <protection/>
    </xf>
    <xf numFmtId="212" fontId="48" fillId="0" borderId="0">
      <alignment/>
      <protection/>
    </xf>
    <xf numFmtId="174" fontId="53" fillId="0" borderId="0">
      <alignment/>
      <protection/>
    </xf>
    <xf numFmtId="212" fontId="48" fillId="0" borderId="0">
      <alignment/>
      <protection/>
    </xf>
    <xf numFmtId="174" fontId="53" fillId="0" borderId="0">
      <alignment/>
      <protection/>
    </xf>
    <xf numFmtId="212" fontId="48" fillId="0" borderId="0">
      <alignment/>
      <protection/>
    </xf>
    <xf numFmtId="174" fontId="53" fillId="0" borderId="0">
      <alignment/>
      <protection/>
    </xf>
    <xf numFmtId="212" fontId="48" fillId="0" borderId="0">
      <alignment/>
      <protection/>
    </xf>
    <xf numFmtId="174" fontId="53" fillId="0" borderId="0">
      <alignment/>
      <protection/>
    </xf>
    <xf numFmtId="37" fontId="0" fillId="0" borderId="0" applyFont="0" applyFill="0" applyBorder="0" applyAlignment="0" applyProtection="0"/>
    <xf numFmtId="178"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4" fontId="99" fillId="0" borderId="0" applyFont="0" applyFill="0" applyBorder="0" applyAlignment="0" applyProtection="0"/>
    <xf numFmtId="178" fontId="4" fillId="0" borderId="0" applyFont="0" applyFill="0" applyBorder="0" applyAlignment="0" applyProtection="0"/>
    <xf numFmtId="39" fontId="4" fillId="0" borderId="0" applyFont="0" applyFill="0" applyBorder="0" applyAlignment="0" applyProtection="0"/>
    <xf numFmtId="184" fontId="4"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0" fontId="39"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5"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8" fontId="4" fillId="0" borderId="0" applyFont="0" applyFill="0" applyBorder="0" applyAlignment="0" applyProtection="0"/>
    <xf numFmtId="287" fontId="0" fillId="0" borderId="0" applyFont="0" applyFill="0" applyBorder="0" applyAlignment="0" applyProtection="0"/>
    <xf numFmtId="314" fontId="0" fillId="0" borderId="0" applyFont="0" applyFill="0" applyBorder="0" applyAlignment="0" applyProtection="0"/>
    <xf numFmtId="42" fontId="0" fillId="0" borderId="0" applyFont="0" applyFill="0" applyBorder="0" applyAlignment="0" applyProtection="0"/>
    <xf numFmtId="233" fontId="0"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4"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0" fontId="2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0" fontId="22"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17" fontId="101" fillId="0" borderId="0" applyFont="0" applyFill="0" applyBorder="0" applyAlignment="0" applyProtection="0"/>
    <xf numFmtId="218" fontId="101" fillId="0" borderId="0" applyFont="0" applyFill="0" applyBorder="0" applyAlignment="0" applyProtection="0"/>
    <xf numFmtId="215" fontId="101" fillId="0" borderId="0" applyFont="0" applyFill="0" applyBorder="0" applyAlignment="0" applyProtection="0"/>
    <xf numFmtId="310"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5" fontId="38" fillId="0" borderId="0" applyFont="0" applyFill="0" applyBorder="0" applyAlignment="0" applyProtection="0"/>
    <xf numFmtId="225" fontId="10" fillId="0" borderId="0" applyFont="0" applyFill="0" applyBorder="0" applyProtection="0">
      <alignment horizontal="right"/>
    </xf>
    <xf numFmtId="14" fontId="4" fillId="0" borderId="0" applyFont="0" applyFill="0" applyBorder="0" applyAlignment="0" applyProtection="0"/>
    <xf numFmtId="267" fontId="4" fillId="0" borderId="0" applyFon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0" fillId="0" borderId="0" applyFont="0" applyFill="0" applyBorder="0" applyAlignment="0" applyProtection="0"/>
    <xf numFmtId="239" fontId="0" fillId="0" borderId="19" applyFont="0" applyFill="0" applyBorder="0" applyAlignment="0" applyProtection="0"/>
    <xf numFmtId="304" fontId="34" fillId="0" borderId="0" applyFill="0" applyProtection="0">
      <alignment vertical="center"/>
    </xf>
    <xf numFmtId="271" fontId="0" fillId="0" borderId="0">
      <alignment/>
      <protection/>
    </xf>
    <xf numFmtId="0" fontId="38" fillId="0" borderId="0">
      <alignment horizontal="left"/>
      <protection/>
    </xf>
    <xf numFmtId="189" fontId="106" fillId="0" borderId="0" applyFont="0" applyFill="0" applyBorder="0" applyAlignment="0" applyProtection="0"/>
    <xf numFmtId="0" fontId="107" fillId="0" borderId="0" applyNumberFormat="0" applyAlignment="0">
      <protection/>
    </xf>
    <xf numFmtId="0" fontId="18" fillId="0" borderId="0">
      <alignment horizontal="left"/>
      <protection/>
    </xf>
    <xf numFmtId="243" fontId="0" fillId="0" borderId="0" applyFont="0" applyFill="0" applyBorder="0" applyAlignment="0" applyProtection="0"/>
    <xf numFmtId="0" fontId="0" fillId="0" borderId="20" applyNumberFormat="0" applyFont="0" applyFill="0" applyBorder="0" applyAlignment="0" applyProtection="0"/>
    <xf numFmtId="0" fontId="172"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6"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72" fontId="4" fillId="0" borderId="0" applyFont="0" applyFill="0" applyBorder="0" applyAlignment="0" applyProtection="0"/>
    <xf numFmtId="273" fontId="4" fillId="0" borderId="0" applyFont="0" applyFill="0" applyBorder="0" applyAlignment="0" applyProtection="0"/>
    <xf numFmtId="274" fontId="4" fillId="0" borderId="0" applyFont="0" applyFill="0" applyBorder="0" applyAlignment="0" applyProtection="0"/>
    <xf numFmtId="0" fontId="173"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61"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53"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74"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5"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303" fontId="91" fillId="0" borderId="0">
      <alignment/>
      <protection/>
    </xf>
    <xf numFmtId="38" fontId="4" fillId="0" borderId="0">
      <alignment/>
      <protection/>
    </xf>
    <xf numFmtId="38" fontId="3" fillId="1" borderId="5">
      <alignment/>
      <protection/>
    </xf>
    <xf numFmtId="284" fontId="0" fillId="0" borderId="0" applyFont="0" applyFill="0" applyBorder="0" applyAlignment="0" applyProtection="0"/>
    <xf numFmtId="286" fontId="0" fillId="0" borderId="0" applyFont="0" applyFill="0" applyBorder="0" applyAlignment="0" applyProtection="0"/>
    <xf numFmtId="229" fontId="0" fillId="0" borderId="0" applyFont="0" applyFill="0" applyBorder="0" applyAlignment="0" applyProtection="0"/>
    <xf numFmtId="231" fontId="0" fillId="0" borderId="0" applyFont="0" applyFill="0" applyBorder="0" applyAlignment="0" applyProtection="0"/>
    <xf numFmtId="283" fontId="0" fillId="0" borderId="0" applyFont="0" applyFill="0" applyBorder="0" applyAlignment="0" applyProtection="0"/>
    <xf numFmtId="285" fontId="0" fillId="0" borderId="0" applyFont="0" applyFill="0" applyBorder="0" applyAlignment="0" applyProtection="0"/>
    <xf numFmtId="228" fontId="0" fillId="0" borderId="0" applyFont="0" applyFill="0" applyBorder="0" applyAlignment="0" applyProtection="0"/>
    <xf numFmtId="230" fontId="0" fillId="0" borderId="0" applyFont="0" applyFill="0" applyBorder="0" applyAlignment="0" applyProtection="0"/>
    <xf numFmtId="226" fontId="114" fillId="0" borderId="0" applyFont="0" applyFill="0" applyBorder="0" applyProtection="0">
      <alignment horizontal="right"/>
    </xf>
    <xf numFmtId="290" fontId="10" fillId="0" borderId="0" applyFont="0" applyFill="0" applyBorder="0" applyAlignment="0" applyProtection="0"/>
    <xf numFmtId="291" fontId="38" fillId="0" borderId="0" applyFont="0" applyFill="0" applyBorder="0" applyAlignment="0" applyProtection="0"/>
    <xf numFmtId="289" fontId="10" fillId="0" borderId="0" applyFont="0" applyFill="0" applyBorder="0" applyAlignment="0" applyProtection="0"/>
    <xf numFmtId="0" fontId="176"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7" fontId="0" fillId="0" borderId="0" applyFont="0" applyFill="0" applyBorder="0" applyAlignment="0" applyProtection="0"/>
    <xf numFmtId="207" fontId="0" fillId="0" borderId="0" applyFont="0" applyFill="0" applyBorder="0" applyAlignment="0" applyProtection="0"/>
    <xf numFmtId="208" fontId="52" fillId="0" borderId="33">
      <alignment horizontal="left"/>
      <protection/>
    </xf>
    <xf numFmtId="214" fontId="0" fillId="0" borderId="0" applyFont="0" applyFill="0" applyBorder="0" applyAlignment="0" applyProtection="0"/>
    <xf numFmtId="37" fontId="115" fillId="0" borderId="0">
      <alignment/>
      <protection/>
    </xf>
    <xf numFmtId="37" fontId="116" fillId="0" borderId="1">
      <alignment/>
      <protection/>
    </xf>
    <xf numFmtId="200" fontId="4" fillId="0" borderId="0">
      <alignment/>
      <protection/>
    </xf>
    <xf numFmtId="175" fontId="0" fillId="0" borderId="0">
      <alignment/>
      <protection/>
    </xf>
    <xf numFmtId="0" fontId="177" fillId="0" borderId="0">
      <alignment/>
      <protection/>
    </xf>
    <xf numFmtId="0" fontId="0"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7" fillId="0" borderId="0">
      <alignment/>
      <protection/>
    </xf>
    <xf numFmtId="0" fontId="167"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0" fillId="0" borderId="0">
      <alignment/>
      <protection/>
    </xf>
    <xf numFmtId="0" fontId="0" fillId="0" borderId="0">
      <alignment/>
      <protection/>
    </xf>
    <xf numFmtId="0" fontId="1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1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8"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5"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6"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5"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6"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7"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91"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6" fontId="0" fillId="0" borderId="0" applyFont="0" applyFill="0" applyBorder="0" applyAlignment="0" applyProtection="0"/>
    <xf numFmtId="256" fontId="0" fillId="0" borderId="0" applyFont="0" applyFill="0" applyBorder="0" applyAlignment="0" applyProtection="0"/>
    <xf numFmtId="267" fontId="0" fillId="0" borderId="0" applyFont="0" applyFill="0" applyBorder="0" applyAlignment="0" applyProtection="0"/>
    <xf numFmtId="18" fontId="91" fillId="0" borderId="0" applyFill="0" applyProtection="0">
      <alignment horizontal="center"/>
    </xf>
    <xf numFmtId="277"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9"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80"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9" fontId="6" fillId="0" borderId="0" applyFont="0" applyFill="0" applyBorder="0" applyAlignment="0" applyProtection="0"/>
    <xf numFmtId="225" fontId="10" fillId="0" borderId="0" applyFont="0" applyFill="0" applyBorder="0" applyProtection="0">
      <alignment horizontal="right"/>
    </xf>
    <xf numFmtId="280"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6" fontId="36" fillId="0" borderId="0" applyFont="0" applyFill="0" applyBorder="0" applyAlignment="0" applyProtection="0"/>
    <xf numFmtId="307" fontId="36"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316"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9"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81"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90" fontId="0" fillId="0" borderId="0" applyFont="0" applyFill="0" applyBorder="0" applyAlignment="0" applyProtection="0"/>
    <xf numFmtId="44" fontId="0" fillId="0" borderId="0" applyFont="0" applyFill="0" applyBorder="0" applyAlignment="0" applyProtection="0"/>
    <xf numFmtId="282"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79">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73"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72" fontId="4" fillId="0" borderId="0" xfId="993" applyNumberFormat="1" applyFont="1" applyFill="1" applyBorder="1" applyAlignment="1" applyProtection="1">
      <alignment horizontal="right"/>
      <protection locked="0"/>
    </xf>
    <xf numFmtId="172" fontId="4" fillId="0" borderId="22" xfId="993" applyNumberFormat="1" applyFont="1" applyFill="1" applyBorder="1" applyAlignment="1">
      <alignment horizontal="right"/>
    </xf>
    <xf numFmtId="172" fontId="4" fillId="0" borderId="0" xfId="993" applyNumberFormat="1" applyFont="1" applyFill="1" applyBorder="1" applyAlignment="1">
      <alignment horizontal="right"/>
    </xf>
    <xf numFmtId="172" fontId="4" fillId="0" borderId="22" xfId="993" applyNumberFormat="1" applyFont="1" applyFill="1" applyBorder="1" applyAlignment="1" applyProtection="1">
      <alignment horizontal="right"/>
      <protection locked="0"/>
    </xf>
    <xf numFmtId="174" fontId="12" fillId="0" borderId="0" xfId="993" applyNumberFormat="1" applyFont="1" applyFill="1" applyBorder="1" applyAlignment="1" applyProtection="1">
      <alignment horizontal="right"/>
      <protection/>
    </xf>
    <xf numFmtId="172" fontId="8" fillId="0" borderId="0" xfId="993" applyNumberFormat="1" applyFont="1" applyFill="1" applyBorder="1" applyAlignment="1">
      <alignment horizontal="right"/>
    </xf>
    <xf numFmtId="172" fontId="7" fillId="0" borderId="0" xfId="993" applyNumberFormat="1" applyFont="1" applyFill="1" applyBorder="1" applyAlignment="1">
      <alignment horizontal="right"/>
    </xf>
    <xf numFmtId="172" fontId="3" fillId="0" borderId="22" xfId="993" applyNumberFormat="1" applyFont="1" applyFill="1" applyBorder="1" applyAlignment="1">
      <alignment horizontal="right"/>
    </xf>
    <xf numFmtId="0" fontId="4" fillId="0" borderId="0" xfId="0" applyFont="1" applyFill="1" applyAlignment="1">
      <alignment/>
    </xf>
    <xf numFmtId="172"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72" fontId="4" fillId="0" borderId="0" xfId="993" applyNumberFormat="1" applyFont="1" applyAlignment="1">
      <alignment horizontal="left"/>
    </xf>
    <xf numFmtId="172" fontId="4" fillId="0" borderId="51" xfId="993" applyNumberFormat="1" applyFont="1" applyBorder="1" applyAlignment="1">
      <alignment horizontal="left"/>
    </xf>
    <xf numFmtId="0" fontId="4" fillId="0" borderId="5" xfId="0" applyFont="1" applyBorder="1" applyAlignment="1">
      <alignment/>
    </xf>
    <xf numFmtId="176"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72" fontId="4" fillId="0" borderId="0" xfId="0" applyNumberFormat="1" applyFont="1" applyFill="1" applyAlignment="1">
      <alignment horizontal="left"/>
    </xf>
    <xf numFmtId="172" fontId="4" fillId="0" borderId="0" xfId="993" applyNumberFormat="1" applyFont="1" applyFill="1" applyAlignment="1">
      <alignment horizontal="left"/>
    </xf>
    <xf numFmtId="172" fontId="4" fillId="0" borderId="0" xfId="0" applyNumberFormat="1" applyFont="1" applyAlignment="1">
      <alignment horizontal="left"/>
    </xf>
    <xf numFmtId="172"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9" fontId="4" fillId="0" borderId="0" xfId="993" applyNumberFormat="1" applyFont="1" applyAlignment="1">
      <alignment horizontal="left"/>
    </xf>
    <xf numFmtId="179" fontId="4" fillId="0" borderId="51" xfId="993" applyNumberFormat="1" applyFont="1" applyBorder="1" applyAlignment="1">
      <alignment horizontal="left"/>
    </xf>
    <xf numFmtId="179"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72"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72" fontId="3" fillId="0" borderId="0" xfId="993" applyNumberFormat="1" applyFont="1" applyAlignment="1">
      <alignment horizontal="left"/>
    </xf>
    <xf numFmtId="172"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72"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72"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177" fontId="4" fillId="0" borderId="0" xfId="0" applyNumberFormat="1" applyFont="1" applyFill="1" applyAlignment="1">
      <alignment horizontal="right" vertical="center"/>
    </xf>
    <xf numFmtId="0" fontId="3" fillId="0" borderId="0" xfId="0" applyFont="1" applyFill="1" applyAlignment="1">
      <alignment horizontal="lef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6" fontId="4" fillId="0" borderId="0" xfId="1639" applyNumberFormat="1" applyFont="1" applyFill="1" applyAlignment="1">
      <alignment horizontal="left" vertical="center"/>
    </xf>
    <xf numFmtId="176"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83" fontId="4" fillId="0" borderId="0" xfId="0" applyNumberFormat="1" applyFont="1" applyBorder="1" applyAlignment="1">
      <alignment horizontal="right"/>
    </xf>
    <xf numFmtId="0" fontId="4" fillId="0" borderId="0" xfId="0" applyFont="1" applyAlignment="1">
      <alignment horizontal="right" vertical="center"/>
    </xf>
    <xf numFmtId="180"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9" fontId="4" fillId="0" borderId="0" xfId="993" applyNumberFormat="1" applyFont="1" applyFill="1" applyAlignment="1">
      <alignment horizontal="left" vertical="center"/>
    </xf>
    <xf numFmtId="176"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72" fontId="20" fillId="0" borderId="0" xfId="993" applyNumberFormat="1" applyFont="1" applyFill="1" applyAlignment="1">
      <alignment horizontal="left"/>
    </xf>
    <xf numFmtId="171" fontId="20" fillId="0" borderId="0" xfId="0" applyNumberFormat="1" applyFont="1" applyFill="1" applyAlignment="1">
      <alignment horizontal="left"/>
    </xf>
    <xf numFmtId="185"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7"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72" fontId="4" fillId="0" borderId="51" xfId="993" applyNumberFormat="1" applyFont="1" applyFill="1" applyBorder="1" applyAlignment="1">
      <alignment horizontal="left"/>
    </xf>
    <xf numFmtId="179" fontId="4" fillId="0" borderId="0" xfId="993" applyNumberFormat="1" applyFont="1" applyFill="1" applyAlignment="1">
      <alignment horizontal="left"/>
    </xf>
    <xf numFmtId="0" fontId="4" fillId="0" borderId="0" xfId="0" applyFont="1" applyFill="1" applyAlignment="1">
      <alignment horizontal="center"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73"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6" fontId="4" fillId="0" borderId="0" xfId="0" applyNumberFormat="1" applyFont="1" applyAlignment="1">
      <alignment horizontal="left"/>
    </xf>
    <xf numFmtId="0" fontId="3" fillId="0" borderId="0" xfId="0" applyFont="1" applyAlignment="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72" fontId="0" fillId="0" borderId="0" xfId="993" applyNumberFormat="1" applyFont="1" applyFill="1" applyBorder="1" applyAlignment="1">
      <alignment/>
    </xf>
    <xf numFmtId="172" fontId="4" fillId="0" borderId="51" xfId="0" applyNumberFormat="1" applyFont="1" applyFill="1" applyBorder="1" applyAlignment="1">
      <alignment horizontal="left"/>
    </xf>
    <xf numFmtId="188" fontId="4" fillId="0" borderId="0" xfId="0" applyNumberFormat="1" applyFont="1" applyBorder="1" applyAlignment="1">
      <alignment horizontal="right"/>
    </xf>
    <xf numFmtId="188" fontId="4" fillId="0" borderId="0" xfId="0" applyNumberFormat="1" applyFont="1" applyFill="1" applyBorder="1" applyAlignment="1">
      <alignment horizontal="right"/>
    </xf>
    <xf numFmtId="188"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8" fontId="4" fillId="0" borderId="0" xfId="0" applyNumberFormat="1" applyFont="1" applyFill="1" applyAlignment="1">
      <alignment horizontal="right"/>
    </xf>
    <xf numFmtId="176" fontId="4" fillId="0" borderId="0" xfId="0" applyNumberFormat="1" applyFont="1" applyFill="1" applyAlignment="1">
      <alignment horizontal="left"/>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Alignment="1">
      <alignment horizontal="right"/>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9" fontId="4" fillId="0" borderId="51" xfId="993" applyNumberFormat="1" applyFont="1" applyFill="1" applyBorder="1" applyAlignment="1">
      <alignment horizontal="left"/>
    </xf>
    <xf numFmtId="172" fontId="4" fillId="0" borderId="0" xfId="1060" applyNumberFormat="1" applyFont="1" applyAlignment="1">
      <alignment horizontal="left"/>
    </xf>
    <xf numFmtId="172" fontId="4" fillId="0" borderId="51" xfId="1060" applyNumberFormat="1" applyFont="1" applyBorder="1" applyAlignment="1">
      <alignment horizontal="left"/>
    </xf>
    <xf numFmtId="172" fontId="4" fillId="0" borderId="51" xfId="1060" applyNumberFormat="1" applyFont="1" applyFill="1" applyBorder="1" applyAlignment="1">
      <alignment horizontal="left"/>
    </xf>
    <xf numFmtId="172" fontId="4" fillId="0" borderId="0" xfId="1060" applyNumberFormat="1" applyFont="1" applyFill="1" applyBorder="1" applyAlignment="1" applyProtection="1">
      <alignment horizontal="right"/>
      <protection locked="0"/>
    </xf>
    <xf numFmtId="172" fontId="4" fillId="0" borderId="22" xfId="1060" applyNumberFormat="1" applyFont="1" applyFill="1" applyBorder="1" applyAlignment="1">
      <alignment horizontal="right"/>
    </xf>
    <xf numFmtId="172" fontId="4" fillId="0" borderId="22" xfId="1060" applyNumberFormat="1" applyFont="1" applyFill="1" applyBorder="1" applyAlignment="1" applyProtection="1">
      <alignment horizontal="right"/>
      <protection locked="0"/>
    </xf>
    <xf numFmtId="172" fontId="3" fillId="0" borderId="22" xfId="1060" applyNumberFormat="1" applyFont="1" applyFill="1" applyBorder="1" applyAlignment="1">
      <alignment horizontal="right"/>
    </xf>
    <xf numFmtId="172"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72"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0" xfId="0" applyFont="1" applyFill="1" applyAlignment="1">
      <alignment horizontal="right"/>
    </xf>
    <xf numFmtId="0" fontId="4" fillId="0" borderId="0" xfId="0" applyFont="1" applyAlignment="1">
      <alignment horizontal="right"/>
    </xf>
    <xf numFmtId="0" fontId="3" fillId="0" borderId="0" xfId="0" applyFont="1" applyFill="1" applyAlignment="1">
      <alignment horizontal="right"/>
    </xf>
    <xf numFmtId="179" fontId="4" fillId="0" borderId="0" xfId="0" applyNumberFormat="1" applyFont="1" applyFill="1" applyAlignment="1">
      <alignment horizontal="left"/>
    </xf>
    <xf numFmtId="43" fontId="4" fillId="0" borderId="0" xfId="0" applyNumberFormat="1" applyFont="1" applyFill="1" applyAlignment="1">
      <alignment horizontal="left"/>
    </xf>
    <xf numFmtId="0" fontId="10" fillId="0" borderId="0" xfId="0" applyFont="1" applyFill="1" applyAlignment="1">
      <alignment horizontal="left" vertical="top" wrapText="1"/>
    </xf>
    <xf numFmtId="172" fontId="4" fillId="0" borderId="0" xfId="0" applyNumberFormat="1" applyFont="1" applyFill="1" applyBorder="1" applyAlignment="1">
      <alignment/>
    </xf>
    <xf numFmtId="39" fontId="10" fillId="0" borderId="0" xfId="0" applyNumberFormat="1" applyFont="1" applyFill="1" applyBorder="1" applyAlignment="1">
      <alignment horizontal="left"/>
    </xf>
    <xf numFmtId="3" fontId="4" fillId="0" borderId="22" xfId="0" applyNumberFormat="1" applyFont="1" applyFill="1" applyBorder="1" applyAlignment="1">
      <alignment horizontal="right" vertical="center"/>
    </xf>
    <xf numFmtId="176" fontId="4" fillId="0" borderId="0" xfId="0" applyNumberFormat="1" applyFont="1" applyFill="1" applyAlignment="1">
      <alignment horizontal="right"/>
    </xf>
    <xf numFmtId="176" fontId="4" fillId="0" borderId="0" xfId="1639" applyNumberFormat="1" applyFont="1" applyFill="1" applyAlignment="1">
      <alignment horizontal="right"/>
    </xf>
    <xf numFmtId="176" fontId="4" fillId="0" borderId="0" xfId="0" applyNumberFormat="1" applyFont="1" applyFill="1" applyBorder="1" applyAlignment="1">
      <alignment horizontal="center"/>
    </xf>
    <xf numFmtId="176" fontId="4" fillId="0" borderId="0" xfId="1639" applyNumberFormat="1" applyFont="1" applyFill="1" applyBorder="1" applyAlignment="1">
      <alignment horizontal="center" vertical="center"/>
    </xf>
    <xf numFmtId="0" fontId="0" fillId="0" borderId="0" xfId="0" applyFont="1" applyFill="1" applyAlignment="1">
      <alignment/>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317" fontId="4" fillId="0" borderId="0" xfId="1639" applyNumberFormat="1" applyFont="1" applyFill="1" applyAlignment="1">
      <alignment horizontal="center" vertical="center"/>
    </xf>
    <xf numFmtId="176" fontId="4" fillId="0" borderId="0" xfId="0" applyNumberFormat="1" applyFont="1" applyFill="1" applyBorder="1" applyAlignment="1">
      <alignment horizontal="left"/>
    </xf>
    <xf numFmtId="9" fontId="4" fillId="0" borderId="0" xfId="1639" applyNumberFormat="1"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172" fontId="0" fillId="0" borderId="0" xfId="0" applyNumberFormat="1" applyFont="1" applyFill="1" applyBorder="1" applyAlignment="1">
      <alignment/>
    </xf>
    <xf numFmtId="0" fontId="4" fillId="0" borderId="0" xfId="0" applyFont="1" applyBorder="1" applyAlignment="1">
      <alignment horizontal="left"/>
    </xf>
    <xf numFmtId="176" fontId="4" fillId="0" borderId="0" xfId="0" applyNumberFormat="1" applyFont="1" applyFill="1" applyBorder="1" applyAlignment="1">
      <alignment horizontal="right"/>
    </xf>
    <xf numFmtId="176" fontId="4" fillId="0" borderId="0" xfId="1673" applyNumberFormat="1" applyFont="1" applyFill="1" applyBorder="1" applyAlignment="1">
      <alignment horizontal="left"/>
    </xf>
    <xf numFmtId="176" fontId="4" fillId="0" borderId="0" xfId="1639" applyNumberFormat="1" applyFont="1" applyFill="1" applyBorder="1" applyAlignment="1">
      <alignment horizontal="right"/>
    </xf>
    <xf numFmtId="3" fontId="9" fillId="0" borderId="0" xfId="0" applyNumberFormat="1" applyFont="1" applyFill="1" applyAlignment="1" quotePrefix="1">
      <alignment horizontal="left" vertical="center"/>
    </xf>
    <xf numFmtId="176" fontId="4" fillId="0" borderId="44" xfId="1639" applyNumberFormat="1" applyFont="1" applyFill="1" applyBorder="1" applyAlignment="1">
      <alignment horizontal="right"/>
    </xf>
    <xf numFmtId="9" fontId="4" fillId="0" borderId="0" xfId="0" applyNumberFormat="1" applyFont="1" applyFill="1" applyBorder="1" applyAlignment="1">
      <alignment horizontal="right"/>
    </xf>
    <xf numFmtId="220" fontId="4" fillId="0" borderId="0" xfId="0" applyNumberFormat="1" applyFont="1" applyFill="1" applyAlignment="1">
      <alignment/>
    </xf>
    <xf numFmtId="10" fontId="4" fillId="0" borderId="0" xfId="1639" applyNumberFormat="1" applyFont="1" applyFill="1" applyAlignment="1">
      <alignment horizontal="center" vertical="center"/>
    </xf>
    <xf numFmtId="3" fontId="4" fillId="0" borderId="0" xfId="0" applyNumberFormat="1" applyFont="1" applyFill="1" applyAlignment="1">
      <alignment horizontal="right" vertical="center"/>
    </xf>
    <xf numFmtId="175" fontId="4" fillId="0" borderId="22" xfId="0" applyNumberFormat="1" applyFont="1" applyFill="1" applyBorder="1" applyAlignment="1">
      <alignment horizontal="right" vertical="center"/>
    </xf>
    <xf numFmtId="0" fontId="4" fillId="0" borderId="52" xfId="0" applyFont="1" applyFill="1" applyBorder="1" applyAlignment="1">
      <alignment/>
    </xf>
    <xf numFmtId="0" fontId="4" fillId="0" borderId="0" xfId="0" applyFont="1" applyFill="1" applyAlignment="1">
      <alignment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5" xfId="0" applyFont="1" applyFill="1" applyBorder="1" applyAlignment="1">
      <alignment horizontal="left" vertical="center"/>
    </xf>
    <xf numFmtId="0" fontId="4" fillId="0" borderId="5" xfId="0" applyFont="1" applyFill="1" applyBorder="1" applyAlignment="1">
      <alignment horizontal="left" vertical="center"/>
    </xf>
    <xf numFmtId="9" fontId="4" fillId="0" borderId="5" xfId="1639" applyNumberFormat="1" applyFont="1" applyFill="1" applyBorder="1" applyAlignment="1">
      <alignment horizontal="center" vertical="center"/>
    </xf>
    <xf numFmtId="0" fontId="4" fillId="0" borderId="5" xfId="0" applyFont="1" applyFill="1" applyBorder="1" applyAlignment="1">
      <alignment horizontal="center" vertical="center"/>
    </xf>
    <xf numFmtId="0" fontId="0" fillId="0" borderId="0" xfId="0" applyFont="1" applyAlignment="1">
      <alignment horizontal="right"/>
    </xf>
    <xf numFmtId="0" fontId="14" fillId="0" borderId="0" xfId="0" applyFont="1" applyAlignment="1">
      <alignment horizontal="right"/>
    </xf>
    <xf numFmtId="0" fontId="4" fillId="0" borderId="0" xfId="0" applyFont="1" applyAlignment="1">
      <alignment horizontal="right" vertical="top" wrapText="1"/>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177" fontId="4" fillId="0" borderId="0" xfId="0" applyNumberFormat="1" applyFont="1" applyFill="1" applyAlignment="1">
      <alignment horizontal="right"/>
    </xf>
    <xf numFmtId="0" fontId="14" fillId="0" borderId="0" xfId="0" applyFont="1" applyFill="1" applyAlignment="1">
      <alignment horizontal="right"/>
    </xf>
    <xf numFmtId="176" fontId="4" fillId="0" borderId="45" xfId="1639" applyNumberFormat="1" applyFont="1" applyFill="1" applyBorder="1" applyAlignment="1">
      <alignment horizontal="right"/>
    </xf>
    <xf numFmtId="0" fontId="181" fillId="0" borderId="0" xfId="0" applyFont="1" applyAlignment="1">
      <alignment/>
    </xf>
    <xf numFmtId="0" fontId="10" fillId="0" borderId="0" xfId="0" applyNumberFormat="1" applyFont="1" applyFill="1" applyBorder="1" applyAlignment="1">
      <alignment horizontal="left" vertical="top" wrapText="1"/>
    </xf>
    <xf numFmtId="176" fontId="4" fillId="0" borderId="0" xfId="993" applyNumberFormat="1" applyFont="1" applyFill="1" applyAlignment="1">
      <alignment horizontal="left"/>
    </xf>
    <xf numFmtId="176" fontId="4" fillId="0" borderId="0" xfId="1060" applyNumberFormat="1" applyFont="1" applyFill="1" applyBorder="1" applyAlignment="1">
      <alignment horizontal="left"/>
    </xf>
    <xf numFmtId="3" fontId="4" fillId="0" borderId="0" xfId="1639" applyNumberFormat="1" applyFont="1" applyFill="1" applyAlignment="1">
      <alignment horizontal="left"/>
    </xf>
    <xf numFmtId="176" fontId="4" fillId="0" borderId="0" xfId="1639" applyNumberFormat="1" applyFont="1" applyFill="1" applyAlignment="1">
      <alignment horizontal="left"/>
    </xf>
    <xf numFmtId="0" fontId="4" fillId="0" borderId="0" xfId="993" applyNumberFormat="1" applyFont="1" applyFill="1" applyAlignment="1">
      <alignment horizontal="left"/>
    </xf>
    <xf numFmtId="3" fontId="4" fillId="0" borderId="0" xfId="993" applyNumberFormat="1" applyFont="1" applyFill="1" applyAlignment="1">
      <alignment horizontal="left"/>
    </xf>
    <xf numFmtId="3" fontId="3" fillId="0" borderId="5" xfId="0" applyNumberFormat="1" applyFont="1" applyBorder="1" applyAlignment="1">
      <alignment horizontal="right" wrapText="1"/>
    </xf>
    <xf numFmtId="172" fontId="4" fillId="0" borderId="0" xfId="1060" applyNumberFormat="1" applyFont="1" applyFill="1" applyAlignment="1">
      <alignment horizontal="left"/>
    </xf>
    <xf numFmtId="0" fontId="8" fillId="0" borderId="0" xfId="0" applyFont="1" applyAlignment="1">
      <alignment horizontal="left"/>
    </xf>
    <xf numFmtId="0" fontId="0" fillId="0" borderId="0" xfId="0" applyFont="1" applyAlignment="1">
      <alignment/>
    </xf>
    <xf numFmtId="0" fontId="15" fillId="0" borderId="0" xfId="0" applyFont="1" applyAlignment="1">
      <alignment horizontal="center"/>
    </xf>
    <xf numFmtId="173" fontId="6" fillId="0" borderId="0" xfId="0" applyNumberFormat="1" applyFont="1" applyAlignment="1">
      <alignment horizontal="center"/>
    </xf>
    <xf numFmtId="0" fontId="3" fillId="0" borderId="0" xfId="0" applyFont="1" applyAlignment="1" applyProtection="1">
      <alignment horizontal="center"/>
      <protection locked="0"/>
    </xf>
    <xf numFmtId="172" fontId="0" fillId="0" borderId="0" xfId="0" applyNumberFormat="1" applyFont="1" applyAlignment="1">
      <alignment/>
    </xf>
    <xf numFmtId="3" fontId="182" fillId="0" borderId="0" xfId="0" applyNumberFormat="1" applyFont="1" applyAlignment="1">
      <alignment/>
    </xf>
    <xf numFmtId="3" fontId="183" fillId="0" borderId="0" xfId="0" applyNumberFormat="1" applyFont="1" applyBorder="1" applyAlignment="1">
      <alignment horizontal="left" wrapText="1" readingOrder="1"/>
    </xf>
    <xf numFmtId="176" fontId="183" fillId="0" borderId="0" xfId="0" applyNumberFormat="1" applyFont="1" applyBorder="1" applyAlignment="1">
      <alignment horizontal="left" vertical="center" wrapText="1" readingOrder="1"/>
    </xf>
    <xf numFmtId="176" fontId="4" fillId="0" borderId="0" xfId="1639" applyNumberFormat="1" applyFont="1" applyFill="1" applyAlignment="1">
      <alignment horizontal="center"/>
    </xf>
    <xf numFmtId="0" fontId="184" fillId="0" borderId="0" xfId="0" applyFont="1" applyAlignment="1">
      <alignment horizontal="left" vertical="center" indent="2" readingOrder="1"/>
    </xf>
    <xf numFmtId="0" fontId="4" fillId="0" borderId="53" xfId="0" applyFont="1" applyFill="1" applyBorder="1" applyAlignment="1">
      <alignment/>
    </xf>
    <xf numFmtId="0" fontId="4" fillId="0" borderId="54" xfId="0" applyFont="1" applyFill="1" applyBorder="1" applyAlignment="1">
      <alignment/>
    </xf>
    <xf numFmtId="176" fontId="0" fillId="0" borderId="0" xfId="0" applyNumberFormat="1" applyAlignment="1">
      <alignment/>
    </xf>
    <xf numFmtId="0" fontId="4" fillId="0" borderId="5" xfId="0" applyFont="1" applyFill="1" applyBorder="1" applyAlignment="1">
      <alignment horizontal="right" vertical="center"/>
    </xf>
    <xf numFmtId="39"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vertical="top" wrapText="1"/>
    </xf>
    <xf numFmtId="0" fontId="10" fillId="0" borderId="0" xfId="0" applyNumberFormat="1" applyFont="1" applyFill="1" applyBorder="1" applyAlignment="1">
      <alignment horizontal="left" vertical="top" wrapText="1"/>
    </xf>
    <xf numFmtId="39" fontId="6" fillId="0" borderId="0" xfId="0" applyNumberFormat="1" applyFont="1" applyFill="1" applyBorder="1" applyAlignment="1">
      <alignment wrapText="1"/>
    </xf>
    <xf numFmtId="39" fontId="10" fillId="0" borderId="0" xfId="0" applyNumberFormat="1" applyFont="1" applyFill="1" applyBorder="1" applyAlignment="1">
      <alignment horizontal="justify" vertical="top" wrapText="1"/>
    </xf>
    <xf numFmtId="39" fontId="3" fillId="0" borderId="0" xfId="0" applyNumberFormat="1" applyFont="1" applyFill="1" applyBorder="1" applyAlignment="1">
      <alignment horizontal="left" vertical="top" wrapText="1"/>
    </xf>
    <xf numFmtId="0" fontId="4" fillId="0" borderId="0" xfId="0" applyFont="1" applyFill="1" applyAlignment="1">
      <alignment horizontal="left" vertical="center"/>
    </xf>
    <xf numFmtId="182" fontId="4" fillId="0" borderId="0" xfId="0" applyNumberFormat="1" applyFont="1" applyFill="1" applyAlignment="1">
      <alignment horizontal="center" vertical="center"/>
    </xf>
    <xf numFmtId="180" fontId="4" fillId="0" borderId="0" xfId="0" applyNumberFormat="1" applyFont="1" applyFill="1" applyAlignment="1" quotePrefix="1">
      <alignment horizontal="center" vertical="center"/>
    </xf>
    <xf numFmtId="173" fontId="6" fillId="0" borderId="0" xfId="0" applyNumberFormat="1" applyFont="1" applyFill="1" applyAlignment="1">
      <alignment horizontal="center"/>
    </xf>
    <xf numFmtId="0" fontId="3" fillId="0" borderId="0" xfId="0" applyFont="1" applyFill="1" applyAlignment="1" applyProtection="1">
      <alignment horizontal="center"/>
      <protection locked="0"/>
    </xf>
    <xf numFmtId="172" fontId="0" fillId="0" borderId="0" xfId="0" applyNumberFormat="1" applyFont="1" applyFill="1" applyAlignment="1">
      <alignment/>
    </xf>
    <xf numFmtId="176" fontId="4" fillId="0" borderId="0" xfId="0" applyNumberFormat="1" applyFont="1" applyFill="1" applyAlignment="1">
      <alignment horizontal="center"/>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1562100</xdr:colOff>
      <xdr:row>8</xdr:row>
      <xdr:rowOff>200025</xdr:rowOff>
    </xdr:from>
    <xdr:to>
      <xdr:col>4</xdr:col>
      <xdr:colOff>161925</xdr:colOff>
      <xdr:row>9</xdr:row>
      <xdr:rowOff>190500</xdr:rowOff>
    </xdr:to>
    <xdr:sp>
      <xdr:nvSpPr>
        <xdr:cNvPr id="1" name="TextBox 1"/>
        <xdr:cNvSpPr txBox="1">
          <a:spLocks noChangeArrowheads="1"/>
        </xdr:cNvSpPr>
      </xdr:nvSpPr>
      <xdr:spPr>
        <a:xfrm>
          <a:off x="6124575" y="1514475"/>
          <a:ext cx="171450" cy="200025"/>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3</xdr:col>
      <xdr:colOff>1562100</xdr:colOff>
      <xdr:row>9</xdr:row>
      <xdr:rowOff>209550</xdr:rowOff>
    </xdr:from>
    <xdr:to>
      <xdr:col>4</xdr:col>
      <xdr:colOff>161925</xdr:colOff>
      <xdr:row>10</xdr:row>
      <xdr:rowOff>200025</xdr:rowOff>
    </xdr:to>
    <xdr:sp>
      <xdr:nvSpPr>
        <xdr:cNvPr id="2" name="TextBox 2"/>
        <xdr:cNvSpPr txBox="1">
          <a:spLocks noChangeArrowheads="1"/>
        </xdr:cNvSpPr>
      </xdr:nvSpPr>
      <xdr:spPr>
        <a:xfrm>
          <a:off x="6124575" y="1733550"/>
          <a:ext cx="171450" cy="200025"/>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4</xdr:col>
      <xdr:colOff>0</xdr:colOff>
      <xdr:row>11</xdr:row>
      <xdr:rowOff>0</xdr:rowOff>
    </xdr:from>
    <xdr:to>
      <xdr:col>4</xdr:col>
      <xdr:colOff>180975</xdr:colOff>
      <xdr:row>11</xdr:row>
      <xdr:rowOff>180975</xdr:rowOff>
    </xdr:to>
    <xdr:sp>
      <xdr:nvSpPr>
        <xdr:cNvPr id="3" name="TextBox 3"/>
        <xdr:cNvSpPr txBox="1">
          <a:spLocks noChangeArrowheads="1"/>
        </xdr:cNvSpPr>
      </xdr:nvSpPr>
      <xdr:spPr>
        <a:xfrm>
          <a:off x="6134100" y="1943100"/>
          <a:ext cx="180975" cy="180975"/>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4</xdr:col>
      <xdr:colOff>0</xdr:colOff>
      <xdr:row>11</xdr:row>
      <xdr:rowOff>200025</xdr:rowOff>
    </xdr:from>
    <xdr:to>
      <xdr:col>4</xdr:col>
      <xdr:colOff>161925</xdr:colOff>
      <xdr:row>12</xdr:row>
      <xdr:rowOff>161925</xdr:rowOff>
    </xdr:to>
    <xdr:sp>
      <xdr:nvSpPr>
        <xdr:cNvPr id="4" name="TextBox 4"/>
        <xdr:cNvSpPr txBox="1">
          <a:spLocks noChangeArrowheads="1"/>
        </xdr:cNvSpPr>
      </xdr:nvSpPr>
      <xdr:spPr>
        <a:xfrm>
          <a:off x="6134100" y="2143125"/>
          <a:ext cx="161925" cy="171450"/>
        </a:xfrm>
        <a:prstGeom prst="rect">
          <a:avLst/>
        </a:prstGeom>
        <a:noFill/>
        <a:ln w="9525" cmpd="sng">
          <a:noFill/>
        </a:ln>
      </xdr:spPr>
      <xdr:txBody>
        <a:bodyPr vertOverflow="clip" wrap="square"/>
        <a:p>
          <a:pPr algn="l">
            <a:defRPr/>
          </a:pPr>
          <a:r>
            <a:rPr lang="en-US" cap="none" sz="700" b="0" i="0" u="none" baseline="0">
              <a:solidFill>
                <a:srgbClr val="000000"/>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K48"/>
  <sheetViews>
    <sheetView view="pageBreakPreview" zoomScale="94" zoomScaleSheetLayoutView="94" zoomScalePageLayoutView="0" workbookViewId="0" topLeftCell="A1">
      <selection activeCell="A9" sqref="A9"/>
    </sheetView>
  </sheetViews>
  <sheetFormatPr defaultColWidth="8.8515625" defaultRowHeight="12.75"/>
  <cols>
    <col min="1" max="1" width="3.140625" style="11" customWidth="1"/>
    <col min="2" max="2" width="50.8515625" style="11" customWidth="1"/>
    <col min="3" max="3" width="14.421875" style="97" bestFit="1" customWidth="1"/>
    <col min="4" max="5" width="23.57421875" style="97" customWidth="1"/>
    <col min="6" max="6" width="15.57421875" style="11" customWidth="1"/>
    <col min="7" max="8" width="8.8515625" style="11" customWidth="1"/>
    <col min="9" max="9" width="10.421875" style="11" bestFit="1" customWidth="1"/>
    <col min="10" max="16384" width="8.8515625" style="11" customWidth="1"/>
  </cols>
  <sheetData>
    <row r="1" spans="1:5" s="24" customFormat="1" ht="15.75">
      <c r="A1" s="22" t="s">
        <v>26</v>
      </c>
      <c r="C1" s="23"/>
      <c r="D1" s="23"/>
      <c r="E1" s="20"/>
    </row>
    <row r="2" spans="1:5" s="24" customFormat="1" ht="15.75">
      <c r="A2" s="22" t="s">
        <v>332</v>
      </c>
      <c r="C2" s="23"/>
      <c r="D2" s="23"/>
      <c r="E2" s="20"/>
    </row>
    <row r="3" spans="1:5" s="24" customFormat="1" ht="9" customHeight="1">
      <c r="A3" s="22"/>
      <c r="C3" s="23"/>
      <c r="D3" s="23"/>
      <c r="E3" s="23"/>
    </row>
    <row r="4" spans="1:5" ht="12.75">
      <c r="A4" s="21" t="s">
        <v>8</v>
      </c>
      <c r="B4" s="10"/>
      <c r="C4" s="167"/>
      <c r="D4" s="167"/>
      <c r="E4" s="167"/>
    </row>
    <row r="5" ht="8.25" customHeight="1"/>
    <row r="6" spans="3:5" s="9" customFormat="1" ht="12.75">
      <c r="C6" s="144"/>
      <c r="D6" s="168" t="s">
        <v>30</v>
      </c>
      <c r="E6" s="168" t="s">
        <v>30</v>
      </c>
    </row>
    <row r="7" spans="1:6" s="9" customFormat="1" ht="12.75">
      <c r="A7" s="143"/>
      <c r="C7" s="168" t="s">
        <v>59</v>
      </c>
      <c r="D7" s="168" t="s">
        <v>333</v>
      </c>
      <c r="E7" s="168" t="s">
        <v>306</v>
      </c>
      <c r="F7" s="143" t="s">
        <v>41</v>
      </c>
    </row>
    <row r="8" spans="1:11" s="96" customFormat="1" ht="16.5" customHeight="1">
      <c r="A8" s="96" t="s">
        <v>356</v>
      </c>
      <c r="C8" s="221">
        <v>390215</v>
      </c>
      <c r="D8" s="98">
        <v>650.50962555</v>
      </c>
      <c r="E8" s="98">
        <v>648</v>
      </c>
      <c r="F8" s="107">
        <v>38806</v>
      </c>
      <c r="G8" s="118"/>
      <c r="H8" s="101"/>
      <c r="I8" s="110"/>
      <c r="J8" s="110"/>
      <c r="K8" s="111"/>
    </row>
    <row r="9" spans="1:11" s="96" customFormat="1" ht="16.5" customHeight="1">
      <c r="A9" s="96" t="s">
        <v>28</v>
      </c>
      <c r="C9" s="221">
        <v>1032679</v>
      </c>
      <c r="D9" s="98">
        <v>606.21333334</v>
      </c>
      <c r="E9" s="98">
        <v>606</v>
      </c>
      <c r="F9" s="107">
        <v>40051</v>
      </c>
      <c r="G9" s="117"/>
      <c r="H9" s="101"/>
      <c r="I9" s="110"/>
      <c r="J9" s="110"/>
      <c r="K9" s="111"/>
    </row>
    <row r="10" spans="1:11" s="96" customFormat="1" ht="16.5" customHeight="1">
      <c r="A10" s="96" t="s">
        <v>351</v>
      </c>
      <c r="C10" s="221">
        <v>712844</v>
      </c>
      <c r="D10" s="98">
        <v>301.31807107</v>
      </c>
      <c r="E10" s="98">
        <v>289</v>
      </c>
      <c r="F10" s="107">
        <v>38806</v>
      </c>
      <c r="G10" s="117"/>
      <c r="H10" s="101"/>
      <c r="I10" s="110"/>
      <c r="J10" s="110"/>
      <c r="K10" s="111"/>
    </row>
    <row r="11" spans="1:11" s="96" customFormat="1" ht="16.5" customHeight="1">
      <c r="A11" s="96" t="s">
        <v>151</v>
      </c>
      <c r="C11" s="221">
        <v>433182</v>
      </c>
      <c r="D11" s="98">
        <v>231.3535</v>
      </c>
      <c r="E11" s="98">
        <v>228</v>
      </c>
      <c r="F11" s="107">
        <v>39251</v>
      </c>
      <c r="G11" s="117"/>
      <c r="H11" s="101"/>
      <c r="I11" s="110"/>
      <c r="J11" s="110"/>
      <c r="K11" s="111"/>
    </row>
    <row r="12" spans="1:11" s="96" customFormat="1" ht="16.5" customHeight="1">
      <c r="A12" s="96" t="s">
        <v>174</v>
      </c>
      <c r="C12" s="221">
        <v>343691</v>
      </c>
      <c r="D12" s="98">
        <v>313.71289082</v>
      </c>
      <c r="E12" s="98">
        <v>305.3</v>
      </c>
      <c r="F12" s="107">
        <v>42217</v>
      </c>
      <c r="G12" s="117"/>
      <c r="H12" s="101"/>
      <c r="I12" s="110"/>
      <c r="J12" s="110"/>
      <c r="K12" s="111"/>
    </row>
    <row r="13" spans="1:11" s="96" customFormat="1" ht="16.5" customHeight="1">
      <c r="A13" s="96" t="s">
        <v>352</v>
      </c>
      <c r="C13" s="257">
        <v>549026</v>
      </c>
      <c r="D13" s="98">
        <v>158.28599338</v>
      </c>
      <c r="E13" s="98">
        <v>150.6</v>
      </c>
      <c r="F13" s="107">
        <v>43101</v>
      </c>
      <c r="G13" s="117"/>
      <c r="H13" s="101"/>
      <c r="I13" s="110"/>
      <c r="J13" s="110"/>
      <c r="K13" s="111"/>
    </row>
    <row r="14" spans="1:5" s="96" customFormat="1" ht="12.75">
      <c r="A14" s="99" t="s">
        <v>29</v>
      </c>
      <c r="C14" s="196">
        <f>SUM(C8:C13)</f>
        <v>3461637</v>
      </c>
      <c r="D14" s="222">
        <f>SUM(D8:D13)</f>
        <v>2261.39341416</v>
      </c>
      <c r="E14" s="222">
        <f>SUM(E8:E13)</f>
        <v>2226.9</v>
      </c>
    </row>
    <row r="15" spans="2:3" s="96" customFormat="1" ht="12.75">
      <c r="B15"/>
      <c r="C15" s="97"/>
    </row>
    <row r="16" spans="3:8" ht="12.75">
      <c r="C16" s="96"/>
      <c r="D16" s="101"/>
      <c r="E16" s="101"/>
      <c r="H16" s="106"/>
    </row>
    <row r="17" spans="3:5" ht="10.5" customHeight="1">
      <c r="C17" s="96"/>
      <c r="D17" s="96"/>
      <c r="E17" s="96"/>
    </row>
    <row r="18" spans="1:5" ht="12.75">
      <c r="A18" s="21" t="s">
        <v>138</v>
      </c>
      <c r="B18" s="10"/>
      <c r="C18" s="167"/>
      <c r="D18" s="167"/>
      <c r="E18" s="167"/>
    </row>
    <row r="19" spans="1:5" s="24" customFormat="1" ht="11.25" customHeight="1">
      <c r="A19" s="22"/>
      <c r="C19" s="23"/>
      <c r="D19" s="23"/>
      <c r="E19" s="20"/>
    </row>
    <row r="20" spans="1:5" ht="12.75">
      <c r="A20" s="8" t="s">
        <v>7</v>
      </c>
      <c r="C20" s="169" t="s">
        <v>3</v>
      </c>
      <c r="D20" s="169" t="s">
        <v>6</v>
      </c>
      <c r="E20" s="169"/>
    </row>
    <row r="21" s="96" customFormat="1" ht="12.75">
      <c r="E21" s="100"/>
    </row>
    <row r="22" spans="1:5" s="96" customFormat="1" ht="12.75">
      <c r="A22" s="272" t="s">
        <v>305</v>
      </c>
      <c r="C22" s="273">
        <v>2.4</v>
      </c>
      <c r="D22" s="274">
        <v>43891</v>
      </c>
      <c r="E22" s="100"/>
    </row>
    <row r="23" spans="1:5" s="96" customFormat="1" ht="12.75">
      <c r="A23" s="272" t="s">
        <v>347</v>
      </c>
      <c r="C23" s="273" t="s">
        <v>349</v>
      </c>
      <c r="D23" s="274">
        <v>43891</v>
      </c>
      <c r="E23" s="100"/>
    </row>
    <row r="24" spans="1:5" s="96" customFormat="1" ht="12.75">
      <c r="A24" s="272" t="s">
        <v>348</v>
      </c>
      <c r="C24" s="273" t="s">
        <v>350</v>
      </c>
      <c r="D24" s="274">
        <v>43862</v>
      </c>
      <c r="E24" s="100"/>
    </row>
    <row r="25" spans="1:5" s="96" customFormat="1" ht="12.75">
      <c r="A25" s="96" t="s">
        <v>175</v>
      </c>
      <c r="C25" s="273">
        <v>59.5</v>
      </c>
      <c r="D25" s="274">
        <v>44044</v>
      </c>
      <c r="E25" s="100"/>
    </row>
    <row r="26" spans="1:5" s="96" customFormat="1" ht="12.75">
      <c r="A26" s="96" t="s">
        <v>196</v>
      </c>
      <c r="C26" s="273" t="s">
        <v>192</v>
      </c>
      <c r="D26" s="274">
        <v>43862</v>
      </c>
      <c r="E26" s="100"/>
    </row>
    <row r="27" spans="1:5" s="96" customFormat="1" ht="12.75">
      <c r="A27" s="96" t="s">
        <v>195</v>
      </c>
      <c r="C27" s="273" t="s">
        <v>192</v>
      </c>
      <c r="D27" s="274">
        <v>44409</v>
      </c>
      <c r="E27" s="100"/>
    </row>
    <row r="28" spans="1:5" s="96" customFormat="1" ht="12.75">
      <c r="A28" s="96" t="s">
        <v>197</v>
      </c>
      <c r="C28" s="273" t="s">
        <v>194</v>
      </c>
      <c r="D28" s="274">
        <v>44256</v>
      </c>
      <c r="E28" s="100"/>
    </row>
    <row r="29" spans="1:5" s="96" customFormat="1" ht="12.75">
      <c r="A29" s="96" t="s">
        <v>215</v>
      </c>
      <c r="C29" s="273" t="s">
        <v>216</v>
      </c>
      <c r="D29" s="274">
        <v>44682</v>
      </c>
      <c r="E29" s="100"/>
    </row>
    <row r="30" spans="1:5" s="96" customFormat="1" ht="12.75">
      <c r="A30" s="96" t="s">
        <v>164</v>
      </c>
      <c r="C30" s="273">
        <v>127.5</v>
      </c>
      <c r="D30" s="274">
        <v>44713</v>
      </c>
      <c r="E30" s="100"/>
    </row>
    <row r="31" spans="1:5" s="96" customFormat="1" ht="12.75">
      <c r="A31" s="96" t="s">
        <v>258</v>
      </c>
      <c r="C31" s="273" t="s">
        <v>242</v>
      </c>
      <c r="D31" s="274">
        <v>44958</v>
      </c>
      <c r="E31" s="100"/>
    </row>
    <row r="32" spans="1:5" s="96" customFormat="1" ht="12.75">
      <c r="A32" s="96" t="s">
        <v>294</v>
      </c>
      <c r="C32" s="273" t="s">
        <v>194</v>
      </c>
      <c r="D32" s="274">
        <v>45323</v>
      </c>
      <c r="E32" s="97"/>
    </row>
    <row r="33" spans="1:5" s="96" customFormat="1" ht="15">
      <c r="A33" s="96" t="s">
        <v>354</v>
      </c>
      <c r="C33" s="220">
        <v>0.029</v>
      </c>
      <c r="D33" s="144"/>
      <c r="E33" s="97"/>
    </row>
    <row r="34" spans="3:5" s="96" customFormat="1" ht="9" customHeight="1">
      <c r="C34" s="101"/>
      <c r="D34" s="101"/>
      <c r="E34" s="101"/>
    </row>
    <row r="35" spans="1:5" s="96" customFormat="1" ht="15">
      <c r="A35" s="99" t="s">
        <v>355</v>
      </c>
      <c r="C35" s="97"/>
      <c r="D35" s="101"/>
      <c r="E35" s="101"/>
    </row>
    <row r="36" spans="1:5" s="96" customFormat="1" ht="15">
      <c r="A36" s="96" t="s">
        <v>76</v>
      </c>
      <c r="C36" s="145" t="s">
        <v>343</v>
      </c>
      <c r="D36" s="216" t="s">
        <v>353</v>
      </c>
      <c r="E36" s="97"/>
    </row>
    <row r="37" spans="1:5" s="96" customFormat="1" ht="12.75">
      <c r="A37" s="96" t="s">
        <v>75</v>
      </c>
      <c r="C37" s="103">
        <v>0.29</v>
      </c>
      <c r="D37" s="101"/>
      <c r="E37" s="101"/>
    </row>
    <row r="38" spans="3:5" s="96" customFormat="1" ht="12.75">
      <c r="C38" s="102"/>
      <c r="D38" s="101"/>
      <c r="E38" s="101"/>
    </row>
    <row r="39" spans="1:3" ht="12.75">
      <c r="A39" s="38" t="s">
        <v>88</v>
      </c>
      <c r="C39" s="114"/>
    </row>
    <row r="40" spans="1:3" ht="12.75">
      <c r="A40" s="37">
        <v>1</v>
      </c>
      <c r="B40" s="36" t="s">
        <v>344</v>
      </c>
      <c r="C40" s="114"/>
    </row>
    <row r="41" spans="1:3" ht="12.75">
      <c r="A41" s="37"/>
      <c r="B41" s="36" t="s">
        <v>272</v>
      </c>
      <c r="C41" s="114"/>
    </row>
    <row r="42" spans="1:3" ht="12.75">
      <c r="A42" s="37">
        <v>2</v>
      </c>
      <c r="B42" s="39" t="s">
        <v>334</v>
      </c>
      <c r="C42" s="114"/>
    </row>
    <row r="43" spans="1:3" ht="12.75">
      <c r="A43" s="37">
        <v>3</v>
      </c>
      <c r="B43" s="241" t="s">
        <v>335</v>
      </c>
      <c r="C43" s="114"/>
    </row>
    <row r="44" spans="1:2" ht="12.75">
      <c r="A44" s="39">
        <v>4</v>
      </c>
      <c r="B44" s="209" t="s">
        <v>336</v>
      </c>
    </row>
    <row r="45" spans="1:6" ht="12.75">
      <c r="A45" s="39">
        <v>5</v>
      </c>
      <c r="B45" s="36" t="s">
        <v>19</v>
      </c>
      <c r="F45" s="96"/>
    </row>
    <row r="46" ht="12.75">
      <c r="A46" s="39"/>
    </row>
    <row r="48" ht="12.75">
      <c r="A48" s="54" t="s">
        <v>27</v>
      </c>
    </row>
  </sheetData>
  <sheetProtection/>
  <printOptions/>
  <pageMargins left="0.75" right="0.75" top="0.5" bottom="0.25" header="0.5" footer="0.5"/>
  <pageSetup fitToHeight="1"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94"/>
  <sheetViews>
    <sheetView view="pageBreakPreview" zoomScale="98" zoomScaleNormal="80" zoomScaleSheetLayoutView="98" zoomScalePageLayoutView="0" workbookViewId="0" topLeftCell="A76">
      <selection activeCell="B90" sqref="B90"/>
    </sheetView>
  </sheetViews>
  <sheetFormatPr defaultColWidth="10.57421875" defaultRowHeight="12.75"/>
  <cols>
    <col min="1" max="1" width="3.57421875" style="52" customWidth="1"/>
    <col min="2" max="2" width="43.57421875" style="52" customWidth="1"/>
    <col min="3" max="3" width="12.57421875" style="129" bestFit="1" customWidth="1"/>
    <col min="4" max="4" width="11.421875" style="129" customWidth="1"/>
    <col min="5" max="6" width="10.57421875" style="129" customWidth="1"/>
    <col min="7" max="7" width="10.57421875" style="18" customWidth="1"/>
    <col min="8" max="16384" width="10.57421875" style="52" customWidth="1"/>
  </cols>
  <sheetData>
    <row r="1" spans="1:7" s="172" customFormat="1" ht="15.75">
      <c r="A1" s="22" t="s">
        <v>26</v>
      </c>
      <c r="B1" s="52"/>
      <c r="C1" s="3"/>
      <c r="D1" s="3"/>
      <c r="E1" s="4"/>
      <c r="F1" s="4"/>
      <c r="G1" s="5"/>
    </row>
    <row r="2" spans="1:7" s="172" customFormat="1" ht="15.75">
      <c r="A2" s="1" t="str">
        <f>Portfolio!$A$2</f>
        <v>PORTFOLIO INFORMATION AS AT 31 DECEMBER 2019</v>
      </c>
      <c r="B2" s="52"/>
      <c r="C2" s="3"/>
      <c r="D2" s="3"/>
      <c r="E2" s="4"/>
      <c r="F2" s="4"/>
      <c r="G2" s="5"/>
    </row>
    <row r="3" spans="3:7" s="19" customFormat="1" ht="12.75">
      <c r="C3" s="18"/>
      <c r="D3" s="18"/>
      <c r="E3" s="18"/>
      <c r="F3" s="18"/>
      <c r="G3" s="18"/>
    </row>
    <row r="4" spans="1:7" s="19" customFormat="1" ht="12.75">
      <c r="A4" s="99" t="s">
        <v>82</v>
      </c>
      <c r="C4" s="128"/>
      <c r="D4" s="128"/>
      <c r="E4" s="18"/>
      <c r="F4" s="18"/>
      <c r="G4" s="18"/>
    </row>
    <row r="5" spans="1:8" s="19" customFormat="1" ht="12.75">
      <c r="A5" s="228" t="s">
        <v>83</v>
      </c>
      <c r="B5" s="55"/>
      <c r="C5" s="229" t="s">
        <v>84</v>
      </c>
      <c r="D5" s="230" t="s">
        <v>85</v>
      </c>
      <c r="E5" s="18"/>
      <c r="F5" s="18"/>
      <c r="G5" s="18"/>
      <c r="H5" s="103"/>
    </row>
    <row r="6" spans="1:9" s="19" customFormat="1" ht="12.75">
      <c r="A6" s="262" t="s">
        <v>47</v>
      </c>
      <c r="B6" s="89"/>
      <c r="C6" s="199">
        <v>0.19194975897888497</v>
      </c>
      <c r="D6" s="199">
        <v>0.15364445171350544</v>
      </c>
      <c r="E6" s="264">
        <v>0.19194975897888497</v>
      </c>
      <c r="F6" s="264">
        <v>0.15364445171350544</v>
      </c>
      <c r="G6" s="201"/>
      <c r="H6" s="103"/>
      <c r="I6" s="103"/>
    </row>
    <row r="7" spans="1:9" s="19" customFormat="1" ht="12.75">
      <c r="A7" s="263" t="s">
        <v>46</v>
      </c>
      <c r="B7" s="55"/>
      <c r="C7" s="199">
        <v>0.1278944004671052</v>
      </c>
      <c r="D7" s="199">
        <v>0.1373422380498073</v>
      </c>
      <c r="E7" s="264">
        <v>0.1278944004671052</v>
      </c>
      <c r="F7" s="264">
        <v>0.1373422380498073</v>
      </c>
      <c r="G7" s="201"/>
      <c r="H7" s="103"/>
      <c r="I7" s="103"/>
    </row>
    <row r="8" spans="1:9" s="19" customFormat="1" ht="12.75">
      <c r="A8" s="263" t="s">
        <v>48</v>
      </c>
      <c r="B8" s="55"/>
      <c r="C8" s="199">
        <v>0.08459008327487486</v>
      </c>
      <c r="D8" s="199">
        <v>0.10090622833613731</v>
      </c>
      <c r="E8" s="264">
        <v>0.08459008327487486</v>
      </c>
      <c r="F8" s="264">
        <v>0.10090622833613731</v>
      </c>
      <c r="G8" s="201"/>
      <c r="H8" s="103"/>
      <c r="I8" s="103"/>
    </row>
    <row r="9" spans="1:9" s="19" customFormat="1" ht="12.75">
      <c r="A9" s="263" t="s">
        <v>53</v>
      </c>
      <c r="B9" s="55"/>
      <c r="C9" s="199">
        <v>0.0774159479930987</v>
      </c>
      <c r="D9" s="199">
        <v>0.0921264052808515</v>
      </c>
      <c r="E9" s="264">
        <v>0.0774159479930987</v>
      </c>
      <c r="F9" s="264">
        <v>0.0921264052808515</v>
      </c>
      <c r="G9" s="201"/>
      <c r="H9" s="103"/>
      <c r="I9" s="103"/>
    </row>
    <row r="10" spans="1:9" s="19" customFormat="1" ht="12.75">
      <c r="A10" s="263" t="s">
        <v>45</v>
      </c>
      <c r="B10" s="55"/>
      <c r="C10" s="199">
        <v>0.089070732038875</v>
      </c>
      <c r="D10" s="199">
        <v>0.0868800774883424</v>
      </c>
      <c r="E10" s="264">
        <v>0.089070732038875</v>
      </c>
      <c r="F10" s="264">
        <v>0.0868800774883424</v>
      </c>
      <c r="G10" s="201"/>
      <c r="H10" s="103"/>
      <c r="I10" s="103"/>
    </row>
    <row r="11" spans="1:9" s="19" customFormat="1" ht="12.75">
      <c r="A11" s="19" t="s">
        <v>331</v>
      </c>
      <c r="B11" s="55"/>
      <c r="C11" s="199">
        <v>0.04729207702078268</v>
      </c>
      <c r="D11" s="199">
        <v>0.07287641335618535</v>
      </c>
      <c r="E11" s="264">
        <v>0.04729207702078268</v>
      </c>
      <c r="F11" s="264">
        <v>0.07287641335618535</v>
      </c>
      <c r="G11" s="201"/>
      <c r="H11" s="103"/>
      <c r="I11" s="103"/>
    </row>
    <row r="12" spans="1:9" s="19" customFormat="1" ht="12.75">
      <c r="A12" s="263" t="s">
        <v>49</v>
      </c>
      <c r="C12" s="199">
        <v>0.0710530798796585</v>
      </c>
      <c r="D12" s="199">
        <v>0.06298632433502871</v>
      </c>
      <c r="E12" s="264">
        <v>0.0710530798796585</v>
      </c>
      <c r="F12" s="264">
        <v>0.06298632433502871</v>
      </c>
      <c r="G12" s="201"/>
      <c r="H12" s="103"/>
      <c r="I12" s="103"/>
    </row>
    <row r="13" spans="1:9" s="19" customFormat="1" ht="12.75">
      <c r="A13" s="263" t="s">
        <v>57</v>
      </c>
      <c r="B13" s="55"/>
      <c r="C13" s="199">
        <v>0.0591277394115495</v>
      </c>
      <c r="D13" s="199">
        <v>0.05123151835337835</v>
      </c>
      <c r="E13" s="264">
        <v>0.0591277394115495</v>
      </c>
      <c r="F13" s="264">
        <v>0.05123151835337835</v>
      </c>
      <c r="G13" s="201"/>
      <c r="H13" s="103"/>
      <c r="I13" s="103"/>
    </row>
    <row r="14" spans="1:9" s="19" customFormat="1" ht="12.75">
      <c r="A14" s="263" t="s">
        <v>54</v>
      </c>
      <c r="B14" s="55"/>
      <c r="C14" s="199">
        <v>0.05056305200835976</v>
      </c>
      <c r="D14" s="199">
        <v>0.04497250036400991</v>
      </c>
      <c r="E14" s="264">
        <v>0.05056305200835976</v>
      </c>
      <c r="F14" s="264">
        <v>0.04497250036400991</v>
      </c>
      <c r="G14" s="201"/>
      <c r="H14" s="103"/>
      <c r="I14" s="103"/>
    </row>
    <row r="15" spans="1:9" s="19" customFormat="1" ht="12.75">
      <c r="A15" s="263" t="s">
        <v>309</v>
      </c>
      <c r="B15" s="55"/>
      <c r="C15" s="199">
        <v>0.03598122927301117</v>
      </c>
      <c r="D15" s="199">
        <v>0.04313258501729194</v>
      </c>
      <c r="E15" s="264">
        <v>0.03598122927301117</v>
      </c>
      <c r="F15" s="264">
        <v>0.04313258501729194</v>
      </c>
      <c r="G15" s="201"/>
      <c r="H15" s="103"/>
      <c r="I15" s="103"/>
    </row>
    <row r="16" spans="1:9" s="19" customFormat="1" ht="12.75">
      <c r="A16" s="263" t="s">
        <v>243</v>
      </c>
      <c r="B16" s="55"/>
      <c r="C16" s="199">
        <v>0.04523552319823234</v>
      </c>
      <c r="D16" s="199">
        <v>0.038526806898921566</v>
      </c>
      <c r="E16" s="264">
        <v>0.04523552319823234</v>
      </c>
      <c r="F16" s="264">
        <v>0.038526806898921566</v>
      </c>
      <c r="G16" s="201"/>
      <c r="H16" s="103"/>
      <c r="I16" s="103"/>
    </row>
    <row r="17" spans="1:9" s="19" customFormat="1" ht="12.75">
      <c r="A17" s="263" t="s">
        <v>51</v>
      </c>
      <c r="B17" s="55"/>
      <c r="C17" s="199">
        <v>0.02194430519319959</v>
      </c>
      <c r="D17" s="199">
        <v>0.027489756013976636</v>
      </c>
      <c r="E17" s="264">
        <v>0.02194430519319959</v>
      </c>
      <c r="F17" s="264">
        <v>0.027489756013976636</v>
      </c>
      <c r="G17" s="201"/>
      <c r="H17" s="103"/>
      <c r="I17" s="103"/>
    </row>
    <row r="18" spans="1:9" s="19" customFormat="1" ht="12.75">
      <c r="A18" s="263" t="s">
        <v>50</v>
      </c>
      <c r="B18" s="55"/>
      <c r="C18" s="199">
        <v>0.01840347749313552</v>
      </c>
      <c r="D18" s="199">
        <v>0.026070317283765243</v>
      </c>
      <c r="E18" s="264">
        <v>0.01840347749313552</v>
      </c>
      <c r="F18" s="264">
        <v>0.026070317283765243</v>
      </c>
      <c r="G18" s="201"/>
      <c r="H18" s="103"/>
      <c r="I18" s="103"/>
    </row>
    <row r="19" spans="1:9" s="19" customFormat="1" ht="12.75">
      <c r="A19" s="263" t="s">
        <v>52</v>
      </c>
      <c r="B19" s="55"/>
      <c r="C19" s="199">
        <v>0.02323317668001652</v>
      </c>
      <c r="D19" s="199">
        <v>0.018314575387427038</v>
      </c>
      <c r="E19" s="264">
        <v>0.02323317668001652</v>
      </c>
      <c r="F19" s="264">
        <v>0.018314575387427038</v>
      </c>
      <c r="G19" s="201"/>
      <c r="H19" s="103"/>
      <c r="I19" s="103"/>
    </row>
    <row r="20" spans="1:9" s="19" customFormat="1" ht="12.75">
      <c r="A20" s="263" t="s">
        <v>56</v>
      </c>
      <c r="B20" s="55"/>
      <c r="C20" s="199">
        <v>0.018511180187876026</v>
      </c>
      <c r="D20" s="199">
        <v>0.015586158719204646</v>
      </c>
      <c r="E20" s="264">
        <v>0.018511180187876026</v>
      </c>
      <c r="F20" s="264">
        <v>0.015586158719204646</v>
      </c>
      <c r="G20" s="201"/>
      <c r="H20" s="103"/>
      <c r="I20" s="103"/>
    </row>
    <row r="21" spans="1:9" s="19" customFormat="1" ht="12.75">
      <c r="A21" s="263" t="s">
        <v>58</v>
      </c>
      <c r="B21" s="55"/>
      <c r="C21" s="199">
        <v>0.011971930500275396</v>
      </c>
      <c r="D21" s="199">
        <v>0.010737355438054824</v>
      </c>
      <c r="E21" s="264">
        <v>0.011971930500275396</v>
      </c>
      <c r="F21" s="264">
        <v>0.010737355438054824</v>
      </c>
      <c r="G21" s="201"/>
      <c r="H21" s="103"/>
      <c r="I21" s="103"/>
    </row>
    <row r="22" spans="1:9" s="19" customFormat="1" ht="12.75">
      <c r="A22" s="263" t="s">
        <v>244</v>
      </c>
      <c r="B22" s="96"/>
      <c r="C22" s="199">
        <v>0.021831103587928065</v>
      </c>
      <c r="D22" s="199">
        <v>0.01039156505133239</v>
      </c>
      <c r="E22" s="264">
        <v>0.021831103587928065</v>
      </c>
      <c r="F22" s="264">
        <v>0.01039156505133239</v>
      </c>
      <c r="G22" s="18"/>
      <c r="H22" s="103"/>
      <c r="I22" s="103"/>
    </row>
    <row r="23" spans="1:9" s="19" customFormat="1" ht="12.75">
      <c r="A23" s="80" t="s">
        <v>55</v>
      </c>
      <c r="B23" s="96"/>
      <c r="C23" s="199">
        <v>0.003931202813136193</v>
      </c>
      <c r="D23" s="199">
        <v>0.006784722912779615</v>
      </c>
      <c r="E23" s="264">
        <v>0.003931202813136193</v>
      </c>
      <c r="F23" s="264">
        <v>0.006784722912779615</v>
      </c>
      <c r="G23" s="18"/>
      <c r="H23" s="103"/>
      <c r="I23" s="103"/>
    </row>
    <row r="24" spans="8:9" ht="12.75">
      <c r="H24" s="103"/>
      <c r="I24" s="103"/>
    </row>
    <row r="25" spans="1:7" s="19" customFormat="1" ht="12.75">
      <c r="A25" s="80"/>
      <c r="B25" s="96"/>
      <c r="C25" s="199"/>
      <c r="D25" s="199"/>
      <c r="E25" s="203"/>
      <c r="F25" s="203"/>
      <c r="G25" s="18"/>
    </row>
    <row r="26" spans="1:7" s="19" customFormat="1" ht="12.75">
      <c r="A26" s="99" t="s">
        <v>86</v>
      </c>
      <c r="C26" s="224"/>
      <c r="D26" s="224"/>
      <c r="E26" s="202"/>
      <c r="F26" s="204"/>
      <c r="G26" s="128"/>
    </row>
    <row r="27" spans="1:7" s="19" customFormat="1" ht="12.75">
      <c r="A27" s="225" t="s">
        <v>5</v>
      </c>
      <c r="B27" s="226" t="s">
        <v>87</v>
      </c>
      <c r="C27" s="265" t="s">
        <v>0</v>
      </c>
      <c r="D27" s="265"/>
      <c r="E27" s="205"/>
      <c r="F27" s="55"/>
      <c r="G27" s="205"/>
    </row>
    <row r="28" spans="1:8" s="19" customFormat="1" ht="12.75">
      <c r="A28" s="227">
        <v>1</v>
      </c>
      <c r="B28" s="223" t="s">
        <v>245</v>
      </c>
      <c r="C28" s="202"/>
      <c r="D28" s="199">
        <v>0.153644451713505</v>
      </c>
      <c r="E28" s="200"/>
      <c r="F28" s="55"/>
      <c r="G28" s="206"/>
      <c r="H28" s="165"/>
    </row>
    <row r="29" spans="1:8" s="19" customFormat="1" ht="12.75">
      <c r="A29" s="202">
        <v>2</v>
      </c>
      <c r="B29" s="80" t="s">
        <v>288</v>
      </c>
      <c r="C29" s="202"/>
      <c r="D29" s="199">
        <v>0.082021611029782</v>
      </c>
      <c r="E29" s="200"/>
      <c r="F29" s="55"/>
      <c r="G29" s="206"/>
      <c r="H29" s="165"/>
    </row>
    <row r="30" spans="1:8" s="19" customFormat="1" ht="12.75">
      <c r="A30" s="202">
        <v>3</v>
      </c>
      <c r="B30" s="80" t="s">
        <v>345</v>
      </c>
      <c r="C30" s="202"/>
      <c r="D30" s="199">
        <v>0.063553097560333</v>
      </c>
      <c r="E30" s="103"/>
      <c r="G30" s="206"/>
      <c r="H30" s="165"/>
    </row>
    <row r="31" spans="1:8" s="19" customFormat="1" ht="12.75" customHeight="1">
      <c r="A31" s="202">
        <v>4</v>
      </c>
      <c r="B31" s="80" t="s">
        <v>346</v>
      </c>
      <c r="D31" s="199">
        <v>0.039200269970249</v>
      </c>
      <c r="E31" s="103"/>
      <c r="G31" s="206"/>
      <c r="H31" s="165"/>
    </row>
    <row r="32" spans="1:8" s="19" customFormat="1" ht="12.75">
      <c r="A32" s="202">
        <v>5</v>
      </c>
      <c r="B32" s="80" t="s">
        <v>157</v>
      </c>
      <c r="C32" s="202"/>
      <c r="D32" s="199">
        <v>0.03595196924766</v>
      </c>
      <c r="E32" s="103"/>
      <c r="G32" s="206"/>
      <c r="H32" s="165"/>
    </row>
    <row r="33" spans="1:8" s="19" customFormat="1" ht="12.75">
      <c r="A33" s="202">
        <v>6</v>
      </c>
      <c r="B33" s="80" t="s">
        <v>308</v>
      </c>
      <c r="C33" s="202"/>
      <c r="D33" s="199">
        <v>0.030598508753465</v>
      </c>
      <c r="E33" s="103"/>
      <c r="G33" s="206"/>
      <c r="H33" s="165"/>
    </row>
    <row r="34" spans="1:8" s="19" customFormat="1" ht="12.75">
      <c r="A34" s="202">
        <v>7</v>
      </c>
      <c r="B34" s="80" t="s">
        <v>246</v>
      </c>
      <c r="C34" s="202"/>
      <c r="D34" s="199">
        <v>0.028376650245027</v>
      </c>
      <c r="E34" s="103"/>
      <c r="G34" s="206"/>
      <c r="H34" s="165"/>
    </row>
    <row r="35" spans="1:8" s="19" customFormat="1" ht="12.75">
      <c r="A35" s="202">
        <v>8</v>
      </c>
      <c r="B35" s="80" t="s">
        <v>165</v>
      </c>
      <c r="C35" s="202"/>
      <c r="D35" s="199">
        <v>0.026674687295232</v>
      </c>
      <c r="E35" s="103"/>
      <c r="G35" s="206"/>
      <c r="H35" s="165"/>
    </row>
    <row r="36" spans="1:8" s="19" customFormat="1" ht="12.75">
      <c r="A36" s="202">
        <v>9</v>
      </c>
      <c r="B36" s="80" t="s">
        <v>320</v>
      </c>
      <c r="D36" s="199">
        <v>0.022701766705714</v>
      </c>
      <c r="E36" s="103"/>
      <c r="G36" s="206"/>
      <c r="H36" s="165"/>
    </row>
    <row r="37" spans="1:8" s="19" customFormat="1" ht="12.75">
      <c r="A37" s="202">
        <v>10</v>
      </c>
      <c r="B37" s="19" t="s">
        <v>321</v>
      </c>
      <c r="C37" s="202"/>
      <c r="D37" s="199">
        <v>0.019906378169525</v>
      </c>
      <c r="E37" s="103"/>
      <c r="G37" s="206"/>
      <c r="H37" s="165"/>
    </row>
    <row r="38" spans="1:8" s="19" customFormat="1" ht="12.75">
      <c r="A38" s="202"/>
      <c r="E38" s="103"/>
      <c r="G38" s="206"/>
      <c r="H38" s="165"/>
    </row>
    <row r="39" spans="1:8" s="19" customFormat="1" ht="12.75">
      <c r="A39" s="202"/>
      <c r="C39" s="202"/>
      <c r="D39" s="199"/>
      <c r="E39" s="103"/>
      <c r="G39" s="206"/>
      <c r="H39" s="165"/>
    </row>
    <row r="40" spans="1:7" s="19" customFormat="1" ht="12.75">
      <c r="A40" s="55"/>
      <c r="C40" s="203"/>
      <c r="D40" s="207"/>
      <c r="E40" s="165"/>
      <c r="F40" s="18"/>
      <c r="G40" s="18"/>
    </row>
    <row r="41" spans="1:7" s="19" customFormat="1" ht="12.75">
      <c r="A41" s="234" t="s">
        <v>312</v>
      </c>
      <c r="B41" s="235"/>
      <c r="C41" s="236" t="s">
        <v>185</v>
      </c>
      <c r="D41" s="236" t="s">
        <v>221</v>
      </c>
      <c r="E41" s="236" t="s">
        <v>273</v>
      </c>
      <c r="F41" s="236" t="s">
        <v>310</v>
      </c>
      <c r="G41" s="236" t="s">
        <v>311</v>
      </c>
    </row>
    <row r="42" spans="1:4" s="19" customFormat="1" ht="12.75">
      <c r="A42" s="237"/>
      <c r="C42" s="203"/>
      <c r="D42" s="203"/>
    </row>
    <row r="43" spans="1:4" s="19" customFormat="1" ht="12.75">
      <c r="A43" s="84" t="s">
        <v>177</v>
      </c>
      <c r="C43" s="18"/>
      <c r="D43" s="18"/>
    </row>
    <row r="44" spans="1:11" s="19" customFormat="1" ht="12.75">
      <c r="A44" s="19" t="s">
        <v>89</v>
      </c>
      <c r="C44" s="55">
        <v>31</v>
      </c>
      <c r="D44" s="55">
        <v>52</v>
      </c>
      <c r="E44" s="55">
        <v>52</v>
      </c>
      <c r="F44" s="55">
        <v>52</v>
      </c>
      <c r="G44" s="55">
        <v>75</v>
      </c>
      <c r="H44" s="18"/>
      <c r="I44" s="18"/>
      <c r="J44" s="18"/>
      <c r="K44" s="18"/>
    </row>
    <row r="45" spans="1:11" s="19" customFormat="1" ht="12.75">
      <c r="A45" s="19" t="s">
        <v>90</v>
      </c>
      <c r="C45" s="258">
        <v>251197</v>
      </c>
      <c r="D45" s="258">
        <v>288533</v>
      </c>
      <c r="E45" s="258">
        <v>233040</v>
      </c>
      <c r="F45" s="258">
        <v>326864</v>
      </c>
      <c r="G45" s="258">
        <v>1157115</v>
      </c>
      <c r="H45" s="18"/>
      <c r="I45" s="18"/>
      <c r="J45" s="18"/>
      <c r="K45" s="18"/>
    </row>
    <row r="46" spans="1:11" s="19" customFormat="1" ht="12.75">
      <c r="A46" s="19" t="s">
        <v>91</v>
      </c>
      <c r="C46" s="259">
        <v>0.089</v>
      </c>
      <c r="D46" s="259">
        <v>0.102</v>
      </c>
      <c r="E46" s="259">
        <v>0.082</v>
      </c>
      <c r="F46" s="259">
        <v>0.115</v>
      </c>
      <c r="G46" s="259">
        <v>0.409</v>
      </c>
      <c r="K46" s="157"/>
    </row>
    <row r="47" spans="1:11" s="19" customFormat="1" ht="12.75">
      <c r="A47" s="19" t="s">
        <v>92</v>
      </c>
      <c r="C47" s="259">
        <v>0.116</v>
      </c>
      <c r="D47" s="259">
        <v>0.135</v>
      </c>
      <c r="E47" s="259">
        <v>0.11</v>
      </c>
      <c r="F47" s="259">
        <v>0.169</v>
      </c>
      <c r="G47" s="259">
        <v>0.47</v>
      </c>
      <c r="K47" s="157"/>
    </row>
    <row r="48" spans="3:7" s="19" customFormat="1" ht="12.75">
      <c r="C48" s="214"/>
      <c r="D48" s="214"/>
      <c r="E48" s="214"/>
      <c r="F48" s="214"/>
      <c r="G48" s="214"/>
    </row>
    <row r="49" spans="1:7" ht="12.75">
      <c r="A49" s="84" t="s">
        <v>357</v>
      </c>
      <c r="C49" s="203"/>
      <c r="D49" s="203"/>
      <c r="E49" s="55"/>
      <c r="F49" s="55"/>
      <c r="G49" s="55"/>
    </row>
    <row r="50" spans="1:9" ht="12.75">
      <c r="A50" s="19" t="s">
        <v>89</v>
      </c>
      <c r="C50" s="19">
        <v>7</v>
      </c>
      <c r="D50" s="19">
        <v>24</v>
      </c>
      <c r="E50" s="19">
        <v>28</v>
      </c>
      <c r="F50" s="19">
        <v>19</v>
      </c>
      <c r="G50" s="19">
        <v>4</v>
      </c>
      <c r="H50" s="19"/>
      <c r="I50" s="19"/>
    </row>
    <row r="51" spans="1:14" ht="12.75">
      <c r="A51" s="19" t="s">
        <v>90</v>
      </c>
      <c r="C51" s="18">
        <v>51113</v>
      </c>
      <c r="D51" s="18">
        <v>70754</v>
      </c>
      <c r="E51" s="18">
        <v>71569</v>
      </c>
      <c r="F51" s="18">
        <v>75318</v>
      </c>
      <c r="G51" s="18">
        <v>35521</v>
      </c>
      <c r="J51" s="173"/>
      <c r="K51" s="173"/>
      <c r="L51" s="173"/>
      <c r="M51" s="173"/>
      <c r="N51" s="173"/>
    </row>
    <row r="52" spans="1:13" ht="12.75">
      <c r="A52" s="19" t="s">
        <v>91</v>
      </c>
      <c r="C52" s="214">
        <v>0.13098676370718706</v>
      </c>
      <c r="D52" s="214">
        <v>0.1813205540535346</v>
      </c>
      <c r="E52" s="214">
        <v>0.1834091462398934</v>
      </c>
      <c r="F52" s="214">
        <v>0.1930166702971439</v>
      </c>
      <c r="G52" s="214">
        <v>0.091029304357854</v>
      </c>
      <c r="H52" s="219"/>
      <c r="I52" s="219"/>
      <c r="J52" s="219"/>
      <c r="K52" s="219"/>
      <c r="L52" s="219"/>
      <c r="M52" s="219"/>
    </row>
    <row r="53" spans="1:7" ht="12.75">
      <c r="A53" s="19" t="s">
        <v>92</v>
      </c>
      <c r="C53" s="214">
        <v>0.15816451751875008</v>
      </c>
      <c r="D53" s="214">
        <v>0.24521157102005478</v>
      </c>
      <c r="E53" s="214">
        <v>0.24382966075851775</v>
      </c>
      <c r="F53" s="214">
        <v>0.25256650982885454</v>
      </c>
      <c r="G53" s="214">
        <v>0.10022774087382301</v>
      </c>
    </row>
    <row r="54" spans="1:7" ht="12.75">
      <c r="A54" s="84"/>
      <c r="C54" s="214"/>
      <c r="D54" s="214"/>
      <c r="E54" s="214"/>
      <c r="F54" s="214"/>
      <c r="G54" s="214"/>
    </row>
    <row r="55" spans="1:7" s="19" customFormat="1" ht="12.75">
      <c r="A55" s="84" t="s">
        <v>104</v>
      </c>
      <c r="C55" s="203"/>
      <c r="D55" s="203"/>
      <c r="E55" s="55"/>
      <c r="F55" s="55"/>
      <c r="G55" s="55"/>
    </row>
    <row r="56" spans="1:7" s="19" customFormat="1" ht="12.75">
      <c r="A56" s="19" t="s">
        <v>89</v>
      </c>
      <c r="C56" s="19">
        <v>14</v>
      </c>
      <c r="D56" s="19">
        <v>22</v>
      </c>
      <c r="E56" s="19">
        <v>15</v>
      </c>
      <c r="F56" s="19">
        <v>5</v>
      </c>
      <c r="G56" s="19">
        <v>6</v>
      </c>
    </row>
    <row r="57" spans="1:7" s="19" customFormat="1" ht="12.75">
      <c r="A57" s="19" t="s">
        <v>90</v>
      </c>
      <c r="C57" s="18">
        <v>163292.0328</v>
      </c>
      <c r="D57" s="18">
        <v>181814.724</v>
      </c>
      <c r="E57" s="18">
        <v>139684.42799999999</v>
      </c>
      <c r="F57" s="18">
        <v>29525.652</v>
      </c>
      <c r="G57" s="18">
        <v>108651.81599999999</v>
      </c>
    </row>
    <row r="58" spans="1:7" s="19" customFormat="1" ht="12.75">
      <c r="A58" s="19" t="s">
        <v>91</v>
      </c>
      <c r="C58" s="243">
        <v>0.15812470944837406</v>
      </c>
      <c r="D58" s="214">
        <v>0.17606125610028123</v>
      </c>
      <c r="E58" s="214">
        <v>0.13526415963609906</v>
      </c>
      <c r="F58" s="214">
        <v>0.028591322330416873</v>
      </c>
      <c r="G58" s="244">
        <v>0.10521356456552239</v>
      </c>
    </row>
    <row r="59" spans="1:7" s="19" customFormat="1" ht="12.75">
      <c r="A59" s="19" t="s">
        <v>92</v>
      </c>
      <c r="C59" s="243">
        <v>0.27011886890494125</v>
      </c>
      <c r="D59" s="214">
        <v>0.296246463307419</v>
      </c>
      <c r="E59" s="214">
        <v>0.22402069128199217</v>
      </c>
      <c r="F59" s="214">
        <v>0.05278091147478316</v>
      </c>
      <c r="G59" s="244">
        <v>0.15683306503086433</v>
      </c>
    </row>
    <row r="60" spans="3:7" s="19" customFormat="1" ht="12.75">
      <c r="C60" s="214"/>
      <c r="D60" s="214"/>
      <c r="E60" s="214"/>
      <c r="F60" s="214"/>
      <c r="G60" s="214"/>
    </row>
    <row r="61" spans="1:7" s="19" customFormat="1" ht="12.75">
      <c r="A61" s="84" t="s">
        <v>105</v>
      </c>
      <c r="C61" s="203"/>
      <c r="D61" s="203"/>
      <c r="E61" s="55"/>
      <c r="F61" s="55"/>
      <c r="G61" s="55"/>
    </row>
    <row r="62" spans="1:7" s="19" customFormat="1" ht="12.75">
      <c r="A62" s="19" t="s">
        <v>89</v>
      </c>
      <c r="C62" s="19">
        <v>4</v>
      </c>
      <c r="D62" s="19">
        <v>2</v>
      </c>
      <c r="E62" s="19">
        <v>3</v>
      </c>
      <c r="F62" s="19">
        <v>4</v>
      </c>
      <c r="G62" s="19">
        <v>24</v>
      </c>
    </row>
    <row r="63" spans="1:7" s="19" customFormat="1" ht="12.75">
      <c r="A63" s="19" t="s">
        <v>90</v>
      </c>
      <c r="C63" s="18">
        <v>18965.345966</v>
      </c>
      <c r="D63" s="18">
        <v>13119.579515</v>
      </c>
      <c r="E63" s="18">
        <v>7176.29213</v>
      </c>
      <c r="F63" s="18">
        <v>18979.446675</v>
      </c>
      <c r="G63" s="18">
        <v>237512.450035</v>
      </c>
    </row>
    <row r="64" spans="1:7" s="19" customFormat="1" ht="12.75">
      <c r="A64" s="19" t="s">
        <v>91</v>
      </c>
      <c r="C64" s="214">
        <v>0.053210335357327714</v>
      </c>
      <c r="D64" s="214">
        <v>0.03680909523041584</v>
      </c>
      <c r="E64" s="214">
        <v>0.02013424440260757</v>
      </c>
      <c r="F64" s="214">
        <v>0.053249897169488226</v>
      </c>
      <c r="G64" s="214">
        <v>0.6663794660302951</v>
      </c>
    </row>
    <row r="65" spans="1:7" s="19" customFormat="1" ht="12.75">
      <c r="A65" s="19" t="s">
        <v>92</v>
      </c>
      <c r="C65" s="214">
        <v>0.0917862444809683</v>
      </c>
      <c r="D65" s="214">
        <v>0.05210564115156272</v>
      </c>
      <c r="E65" s="214">
        <v>0.02383694655843928</v>
      </c>
      <c r="F65" s="214">
        <v>0.0836144213005197</v>
      </c>
      <c r="G65" s="214">
        <v>0.74865674650851</v>
      </c>
    </row>
    <row r="66" spans="3:7" s="19" customFormat="1" ht="12.75">
      <c r="C66" s="18"/>
      <c r="D66" s="18"/>
      <c r="E66" s="18"/>
      <c r="F66" s="18"/>
      <c r="G66" s="18"/>
    </row>
    <row r="67" spans="1:7" ht="12.75">
      <c r="A67" s="84" t="s">
        <v>300</v>
      </c>
      <c r="C67" s="18"/>
      <c r="D67" s="18"/>
      <c r="E67" s="52"/>
      <c r="F67" s="52"/>
      <c r="G67" s="52"/>
    </row>
    <row r="68" spans="1:7" ht="12.75">
      <c r="A68" s="19" t="s">
        <v>89</v>
      </c>
      <c r="C68" s="109">
        <v>0</v>
      </c>
      <c r="D68" s="109">
        <v>0</v>
      </c>
      <c r="E68" s="109">
        <v>0</v>
      </c>
      <c r="F68" s="109">
        <v>0</v>
      </c>
      <c r="G68" s="18">
        <v>1</v>
      </c>
    </row>
    <row r="69" spans="1:7" ht="12.75">
      <c r="A69" s="19" t="s">
        <v>90</v>
      </c>
      <c r="C69" s="109">
        <v>0</v>
      </c>
      <c r="D69" s="109">
        <v>0</v>
      </c>
      <c r="E69" s="109">
        <v>0</v>
      </c>
      <c r="F69" s="109">
        <v>0</v>
      </c>
      <c r="G69" s="245">
        <v>433182.3916</v>
      </c>
    </row>
    <row r="70" spans="1:7" ht="12.75">
      <c r="A70" s="19" t="s">
        <v>91</v>
      </c>
      <c r="C70" s="109">
        <v>0</v>
      </c>
      <c r="D70" s="109">
        <v>0</v>
      </c>
      <c r="E70" s="109">
        <v>0</v>
      </c>
      <c r="F70" s="109">
        <v>0</v>
      </c>
      <c r="G70" s="165">
        <v>1</v>
      </c>
    </row>
    <row r="71" spans="1:7" ht="12.75">
      <c r="A71" s="19" t="s">
        <v>92</v>
      </c>
      <c r="C71" s="109">
        <v>0</v>
      </c>
      <c r="D71" s="109">
        <v>0</v>
      </c>
      <c r="E71" s="109">
        <v>0</v>
      </c>
      <c r="F71" s="109">
        <v>0</v>
      </c>
      <c r="G71" s="246">
        <v>1</v>
      </c>
    </row>
    <row r="72" spans="1:7" ht="12.75">
      <c r="A72" s="84"/>
      <c r="C72" s="19"/>
      <c r="D72" s="19"/>
      <c r="E72" s="19"/>
      <c r="F72" s="19"/>
      <c r="G72" s="19"/>
    </row>
    <row r="73" spans="1:7" ht="12.75">
      <c r="A73" s="84" t="s">
        <v>178</v>
      </c>
      <c r="C73" s="19"/>
      <c r="D73" s="19"/>
      <c r="E73" s="19"/>
      <c r="F73" s="19"/>
      <c r="G73" s="19"/>
    </row>
    <row r="74" spans="1:7" ht="12.75">
      <c r="A74" s="19" t="s">
        <v>89</v>
      </c>
      <c r="C74" s="247">
        <v>3</v>
      </c>
      <c r="D74" s="19">
        <v>2</v>
      </c>
      <c r="E74" s="19">
        <v>2</v>
      </c>
      <c r="F74" s="19">
        <v>15</v>
      </c>
      <c r="G74" s="19">
        <v>8</v>
      </c>
    </row>
    <row r="75" spans="1:7" ht="12.75">
      <c r="A75" s="19" t="s">
        <v>90</v>
      </c>
      <c r="C75" s="248">
        <v>12173.9709</v>
      </c>
      <c r="D75" s="18">
        <v>13131.958</v>
      </c>
      <c r="E75" s="18">
        <v>11786.4705</v>
      </c>
      <c r="F75" s="18">
        <v>178540.80929999996</v>
      </c>
      <c r="G75" s="18">
        <v>112924.07489999998</v>
      </c>
    </row>
    <row r="76" spans="1:7" ht="12.75">
      <c r="A76" s="19" t="s">
        <v>91</v>
      </c>
      <c r="C76" s="243">
        <v>0.035421233949264025</v>
      </c>
      <c r="D76" s="214">
        <v>0.03820858127153148</v>
      </c>
      <c r="E76" s="214">
        <v>0.034293767616661454</v>
      </c>
      <c r="F76" s="214">
        <v>0.5194801127466333</v>
      </c>
      <c r="G76" s="214">
        <v>0.3285624804259317</v>
      </c>
    </row>
    <row r="77" spans="1:7" ht="12.75">
      <c r="A77" s="19" t="s">
        <v>92</v>
      </c>
      <c r="C77" s="243">
        <v>0.03866236278509362</v>
      </c>
      <c r="D77" s="214">
        <v>0.041017528052028664</v>
      </c>
      <c r="E77" s="214">
        <v>0.03619250761441837</v>
      </c>
      <c r="F77" s="214">
        <v>0.549987297170671</v>
      </c>
      <c r="G77" s="214">
        <v>0.33414030437778824</v>
      </c>
    </row>
    <row r="78" spans="1:7" ht="12.75">
      <c r="A78" s="19"/>
      <c r="C78" s="243"/>
      <c r="D78" s="214"/>
      <c r="E78" s="214"/>
      <c r="F78" s="214"/>
      <c r="G78" s="214"/>
    </row>
    <row r="79" spans="1:7" ht="12.75">
      <c r="A79" s="84" t="s">
        <v>247</v>
      </c>
      <c r="C79" s="19"/>
      <c r="D79" s="19"/>
      <c r="E79" s="19"/>
      <c r="F79" s="19"/>
      <c r="G79" s="19"/>
    </row>
    <row r="80" spans="1:7" ht="12.75">
      <c r="A80" s="19" t="s">
        <v>89</v>
      </c>
      <c r="C80" s="19">
        <v>3</v>
      </c>
      <c r="D80" s="19">
        <v>2</v>
      </c>
      <c r="E80" s="19">
        <v>4</v>
      </c>
      <c r="F80" s="19">
        <v>9</v>
      </c>
      <c r="G80" s="19">
        <v>32</v>
      </c>
    </row>
    <row r="81" spans="1:7" ht="12.75">
      <c r="A81" s="19" t="s">
        <v>90</v>
      </c>
      <c r="C81" s="18">
        <v>5652.508535066901</v>
      </c>
      <c r="D81" s="18">
        <v>9712.5</v>
      </c>
      <c r="E81" s="18">
        <v>2823.9998821961</v>
      </c>
      <c r="F81" s="18">
        <v>24500.47995733675</v>
      </c>
      <c r="G81" s="18">
        <v>229322.8868304037</v>
      </c>
    </row>
    <row r="82" spans="1:7" ht="12.75">
      <c r="A82" s="19" t="s">
        <v>91</v>
      </c>
      <c r="C82" s="246">
        <v>0.020591052581357922</v>
      </c>
      <c r="D82" s="214">
        <v>0.03538085735841739</v>
      </c>
      <c r="E82" s="214">
        <v>0.010287313978086765</v>
      </c>
      <c r="F82" s="214">
        <v>0.08925075794937407</v>
      </c>
      <c r="G82" s="214">
        <v>0.8353812456079286</v>
      </c>
    </row>
    <row r="83" spans="1:7" ht="12.75">
      <c r="A83" s="19" t="s">
        <v>92</v>
      </c>
      <c r="C83" s="246">
        <v>0.02320524814413443</v>
      </c>
      <c r="D83" s="214">
        <v>0.04362561739172525</v>
      </c>
      <c r="E83" s="214">
        <v>0.013115745770804897</v>
      </c>
      <c r="F83" s="214">
        <v>0.09808345631341873</v>
      </c>
      <c r="G83" s="214">
        <v>0.8219699323799168</v>
      </c>
    </row>
    <row r="84" spans="1:7" s="19" customFormat="1" ht="12.75">
      <c r="A84" s="96"/>
      <c r="B84" s="96"/>
      <c r="C84" s="96"/>
      <c r="D84" s="97"/>
      <c r="E84" s="208"/>
      <c r="F84" s="208"/>
      <c r="G84" s="208"/>
    </row>
    <row r="85" spans="1:7" s="19" customFormat="1" ht="12.75">
      <c r="A85" s="96"/>
      <c r="B85" s="96"/>
      <c r="C85" s="96"/>
      <c r="D85" s="214"/>
      <c r="E85" s="214"/>
      <c r="F85" s="214"/>
      <c r="G85" s="214"/>
    </row>
    <row r="86" spans="1:7" s="19" customFormat="1" ht="12.75">
      <c r="A86" s="96"/>
      <c r="B86" s="96"/>
      <c r="C86" s="96"/>
      <c r="D86" s="97"/>
      <c r="E86" s="208"/>
      <c r="F86" s="208"/>
      <c r="G86" s="208"/>
    </row>
    <row r="87" spans="1:7" s="114" customFormat="1" ht="10.5">
      <c r="A87" s="114" t="s">
        <v>88</v>
      </c>
      <c r="C87" s="209"/>
      <c r="D87" s="209"/>
      <c r="E87" s="209"/>
      <c r="F87" s="210"/>
      <c r="G87" s="210"/>
    </row>
    <row r="88" spans="1:7" s="114" customFormat="1" ht="10.5" customHeight="1">
      <c r="A88" s="266" t="s">
        <v>337</v>
      </c>
      <c r="B88" s="266"/>
      <c r="C88" s="266"/>
      <c r="D88" s="266"/>
      <c r="E88" s="266"/>
      <c r="F88" s="266"/>
      <c r="G88" s="266"/>
    </row>
    <row r="89" spans="1:7" s="114" customFormat="1" ht="10.5">
      <c r="A89" s="114">
        <v>1</v>
      </c>
      <c r="B89" s="114" t="s">
        <v>358</v>
      </c>
      <c r="C89" s="209"/>
      <c r="D89" s="209"/>
      <c r="E89" s="209"/>
      <c r="F89" s="210"/>
      <c r="G89" s="210"/>
    </row>
    <row r="90" s="193" customFormat="1" ht="14.25" customHeight="1">
      <c r="A90" s="163"/>
    </row>
    <row r="91" spans="1:2" ht="21" customHeight="1">
      <c r="A91" s="37"/>
      <c r="B91" s="261"/>
    </row>
    <row r="92" ht="21" customHeight="1"/>
    <row r="93" spans="3:6" ht="12.75">
      <c r="C93" s="18"/>
      <c r="D93" s="18"/>
      <c r="E93" s="18"/>
      <c r="F93" s="18"/>
    </row>
    <row r="94" ht="12.75">
      <c r="G94" s="129"/>
    </row>
  </sheetData>
  <sheetProtection/>
  <mergeCells count="2">
    <mergeCell ref="C27:D27"/>
    <mergeCell ref="A88:G88"/>
  </mergeCells>
  <printOptions/>
  <pageMargins left="0.75" right="0.75" top="0.5" bottom="0.5"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P90"/>
  <sheetViews>
    <sheetView view="pageBreakPreview" zoomScale="80" zoomScaleSheetLayoutView="80" zoomScalePageLayoutView="0" workbookViewId="0" topLeftCell="A1">
      <pane xSplit="2" ySplit="5" topLeftCell="C63" activePane="bottomRight" state="frozen"/>
      <selection pane="topLeft" activeCell="A1" sqref="A1"/>
      <selection pane="topRight" activeCell="C1" sqref="C1"/>
      <selection pane="bottomLeft" activeCell="A6" sqref="A6"/>
      <selection pane="bottomRight" activeCell="A58" sqref="A58"/>
    </sheetView>
  </sheetViews>
  <sheetFormatPr defaultColWidth="10.57421875" defaultRowHeight="12.75"/>
  <cols>
    <col min="1" max="1" width="3.421875" style="6" customWidth="1"/>
    <col min="2" max="2" width="23.57421875" style="6" customWidth="1"/>
    <col min="3" max="5" width="11.00390625" style="7" hidden="1" customWidth="1"/>
    <col min="6" max="6" width="12.8515625" style="7" hidden="1" customWidth="1"/>
    <col min="7" max="7" width="10.57421875" style="7" hidden="1" customWidth="1"/>
    <col min="8" max="8" width="0" style="6" hidden="1" customWidth="1"/>
    <col min="9" max="9" width="10.57421875" style="19" hidden="1" customWidth="1"/>
    <col min="10" max="11" width="10.57421875" style="6" customWidth="1"/>
    <col min="12" max="12" width="12.00390625" style="6" bestFit="1" customWidth="1"/>
    <col min="13" max="13" width="11.421875" style="6" customWidth="1"/>
    <col min="14" max="15" width="10.57421875" style="6" customWidth="1"/>
    <col min="16" max="16" width="10.57421875" style="189" customWidth="1"/>
    <col min="17" max="16384" width="10.57421875" style="6" customWidth="1"/>
  </cols>
  <sheetData>
    <row r="1" spans="1:16" s="15" customFormat="1" ht="15.75">
      <c r="A1" s="22" t="s">
        <v>26</v>
      </c>
      <c r="B1" s="14"/>
      <c r="C1" s="3"/>
      <c r="D1" s="3"/>
      <c r="E1" s="5"/>
      <c r="F1" s="5"/>
      <c r="G1" s="5"/>
      <c r="I1" s="174"/>
      <c r="M1" s="174"/>
      <c r="N1" s="174"/>
      <c r="P1" s="231"/>
    </row>
    <row r="2" spans="1:16" s="15" customFormat="1" ht="15.75">
      <c r="A2" s="1" t="str">
        <f>Portfolio!$A$2</f>
        <v>PORTFOLIO INFORMATION AS AT 31 DECEMBER 2019</v>
      </c>
      <c r="B2" s="14"/>
      <c r="C2" s="3"/>
      <c r="D2" s="3"/>
      <c r="E2" s="5"/>
      <c r="F2" s="5"/>
      <c r="G2" s="5"/>
      <c r="I2" s="174"/>
      <c r="M2" s="174"/>
      <c r="N2" s="174"/>
      <c r="P2" s="231"/>
    </row>
    <row r="3" spans="1:16" s="15" customFormat="1" ht="15.75">
      <c r="A3" s="14"/>
      <c r="B3" s="14"/>
      <c r="C3" s="3"/>
      <c r="D3" s="3"/>
      <c r="E3" s="5"/>
      <c r="F3" s="5"/>
      <c r="G3" s="5"/>
      <c r="I3" s="174"/>
      <c r="M3" s="174"/>
      <c r="N3" s="174"/>
      <c r="P3" s="231"/>
    </row>
    <row r="4" spans="1:16" s="72" customFormat="1" ht="10.5">
      <c r="A4" s="69"/>
      <c r="B4" s="69"/>
      <c r="C4" s="70"/>
      <c r="D4" s="70"/>
      <c r="E4" s="71"/>
      <c r="F4" s="71"/>
      <c r="G4" s="71"/>
      <c r="I4" s="166"/>
      <c r="M4" s="166"/>
      <c r="N4" s="166"/>
      <c r="P4" s="232"/>
    </row>
    <row r="5" spans="1:16" ht="25.5">
      <c r="A5" s="12" t="s">
        <v>79</v>
      </c>
      <c r="B5" s="12"/>
      <c r="C5" s="57" t="s">
        <v>74</v>
      </c>
      <c r="D5" s="57" t="s">
        <v>73</v>
      </c>
      <c r="E5" s="57" t="s">
        <v>22</v>
      </c>
      <c r="F5" s="104" t="s">
        <v>93</v>
      </c>
      <c r="G5" s="104" t="s">
        <v>101</v>
      </c>
      <c r="H5" s="104" t="s">
        <v>119</v>
      </c>
      <c r="I5" s="175" t="s">
        <v>120</v>
      </c>
      <c r="J5" s="104" t="s">
        <v>121</v>
      </c>
      <c r="K5" s="104" t="s">
        <v>122</v>
      </c>
      <c r="L5" s="104" t="s">
        <v>141</v>
      </c>
      <c r="M5" s="175" t="s">
        <v>186</v>
      </c>
      <c r="N5" s="175" t="s">
        <v>189</v>
      </c>
      <c r="O5" s="175" t="s">
        <v>274</v>
      </c>
      <c r="P5" s="249" t="s">
        <v>176</v>
      </c>
    </row>
    <row r="6" spans="13:15" ht="12.75">
      <c r="M6" s="19"/>
      <c r="N6" s="19"/>
      <c r="O6" s="19"/>
    </row>
    <row r="7" spans="1:15" ht="12.75">
      <c r="A7" s="16" t="s">
        <v>1</v>
      </c>
      <c r="B7" s="16"/>
      <c r="C7" s="17"/>
      <c r="D7" s="17"/>
      <c r="E7" s="17"/>
      <c r="F7" s="17"/>
      <c r="G7" s="17"/>
      <c r="M7" s="19"/>
      <c r="N7" s="19"/>
      <c r="O7" s="19"/>
    </row>
    <row r="8" spans="1:16" ht="12.75">
      <c r="A8" s="2" t="s">
        <v>357</v>
      </c>
      <c r="B8" s="16"/>
      <c r="C8" s="58">
        <v>13257</v>
      </c>
      <c r="D8" s="58">
        <v>17550</v>
      </c>
      <c r="E8" s="58">
        <v>17550</v>
      </c>
      <c r="F8" s="58">
        <v>13163</v>
      </c>
      <c r="G8" s="58">
        <v>17550</v>
      </c>
      <c r="H8" s="58">
        <v>17550</v>
      </c>
      <c r="I8" s="66">
        <v>22323</v>
      </c>
      <c r="J8" s="58">
        <v>28055</v>
      </c>
      <c r="K8" s="58">
        <v>30404</v>
      </c>
      <c r="L8" s="177">
        <v>31440</v>
      </c>
      <c r="M8" s="66">
        <v>28730</v>
      </c>
      <c r="N8" s="66">
        <f>SUM('Qtr metrics '!AT8:AW8)</f>
        <v>26234</v>
      </c>
      <c r="O8" s="66">
        <f>SUM('Qtr metrics '!AX8:BA8)</f>
        <v>23299</v>
      </c>
      <c r="P8" s="250">
        <v>25717</v>
      </c>
    </row>
    <row r="9" spans="1:16" ht="12.75">
      <c r="A9" s="2" t="s">
        <v>102</v>
      </c>
      <c r="B9" s="16"/>
      <c r="C9" s="58">
        <v>0</v>
      </c>
      <c r="D9" s="58">
        <v>4383</v>
      </c>
      <c r="E9" s="58">
        <v>7089</v>
      </c>
      <c r="F9" s="58">
        <v>5243</v>
      </c>
      <c r="G9" s="58">
        <v>6512</v>
      </c>
      <c r="H9" s="58">
        <v>5665</v>
      </c>
      <c r="I9" s="66">
        <v>5631</v>
      </c>
      <c r="J9" s="58">
        <v>5259</v>
      </c>
      <c r="K9" s="58">
        <v>5402</v>
      </c>
      <c r="L9" s="177">
        <v>6037</v>
      </c>
      <c r="M9" s="66">
        <v>5887</v>
      </c>
      <c r="N9" s="66">
        <f>SUM('Qtr metrics '!AT9:AW9)</f>
        <v>5876</v>
      </c>
      <c r="O9" s="66">
        <f>SUM('Qtr metrics '!AX9:BA9)</f>
        <v>4793</v>
      </c>
      <c r="P9" s="250">
        <v>0</v>
      </c>
    </row>
    <row r="10" spans="1:16" ht="12.75">
      <c r="A10" s="2" t="s">
        <v>103</v>
      </c>
      <c r="B10" s="16"/>
      <c r="C10" s="58">
        <v>0</v>
      </c>
      <c r="D10" s="58">
        <v>3851</v>
      </c>
      <c r="E10" s="58">
        <v>21366</v>
      </c>
      <c r="F10" s="58">
        <v>11611</v>
      </c>
      <c r="G10" s="58">
        <v>14954</v>
      </c>
      <c r="H10" s="58">
        <v>16050</v>
      </c>
      <c r="I10" s="66">
        <v>16123</v>
      </c>
      <c r="J10" s="58">
        <v>22</v>
      </c>
      <c r="K10" s="58">
        <v>0</v>
      </c>
      <c r="L10" s="177">
        <v>0</v>
      </c>
      <c r="M10" s="66">
        <v>0</v>
      </c>
      <c r="N10" s="66">
        <f>SUM('Qtr metrics '!AT10:AW10)</f>
        <v>0</v>
      </c>
      <c r="O10" s="66">
        <f>SUM('Qtr metrics '!AX10:BA10)</f>
        <v>0</v>
      </c>
      <c r="P10" s="250">
        <v>0</v>
      </c>
    </row>
    <row r="11" spans="1:16" ht="12.75">
      <c r="A11" s="2" t="s">
        <v>104</v>
      </c>
      <c r="B11" s="16"/>
      <c r="C11" s="58">
        <v>0</v>
      </c>
      <c r="D11" s="58">
        <v>0</v>
      </c>
      <c r="E11" s="58">
        <v>0</v>
      </c>
      <c r="F11" s="58">
        <v>2188</v>
      </c>
      <c r="G11" s="58">
        <v>22000</v>
      </c>
      <c r="H11" s="58">
        <v>22000</v>
      </c>
      <c r="I11" s="66">
        <v>22000</v>
      </c>
      <c r="J11" s="58">
        <v>22000</v>
      </c>
      <c r="K11" s="58">
        <v>24671</v>
      </c>
      <c r="L11" s="177">
        <v>50493</v>
      </c>
      <c r="M11" s="66">
        <v>53059</v>
      </c>
      <c r="N11" s="66">
        <f>SUM('Qtr metrics '!AT11:AW11)</f>
        <v>51851</v>
      </c>
      <c r="O11" s="66">
        <f>SUM('Qtr metrics '!AX11:BA11)</f>
        <v>38713</v>
      </c>
      <c r="P11" s="250">
        <v>33900</v>
      </c>
    </row>
    <row r="12" spans="1:16" ht="12.75">
      <c r="A12" s="2" t="s">
        <v>105</v>
      </c>
      <c r="B12" s="16"/>
      <c r="C12" s="58">
        <v>19408</v>
      </c>
      <c r="D12" s="58">
        <v>30611</v>
      </c>
      <c r="E12" s="58">
        <v>30900</v>
      </c>
      <c r="F12" s="58">
        <v>20268</v>
      </c>
      <c r="G12" s="58">
        <v>29457</v>
      </c>
      <c r="H12" s="58">
        <v>33953</v>
      </c>
      <c r="I12" s="66">
        <v>36717</v>
      </c>
      <c r="J12" s="58">
        <v>37005</v>
      </c>
      <c r="K12" s="58">
        <v>34483</v>
      </c>
      <c r="L12" s="177">
        <v>29805</v>
      </c>
      <c r="M12" s="66">
        <v>26555</v>
      </c>
      <c r="N12" s="66">
        <f>SUM('Qtr metrics '!AT12:AW12)</f>
        <v>27895</v>
      </c>
      <c r="O12" s="66">
        <f>SUM('Qtr metrics '!AX12:BA12)</f>
        <v>23416</v>
      </c>
      <c r="P12" s="250">
        <v>24229</v>
      </c>
    </row>
    <row r="13" spans="1:16" ht="12.75">
      <c r="A13" s="2" t="s">
        <v>106</v>
      </c>
      <c r="B13" s="16"/>
      <c r="C13" s="58">
        <v>0</v>
      </c>
      <c r="D13" s="58">
        <v>6058</v>
      </c>
      <c r="E13" s="58">
        <v>11538</v>
      </c>
      <c r="F13" s="58">
        <v>7990</v>
      </c>
      <c r="G13" s="58">
        <v>12014</v>
      </c>
      <c r="H13" s="58">
        <v>12631</v>
      </c>
      <c r="I13" s="66">
        <v>19602</v>
      </c>
      <c r="J13" s="58">
        <v>25334</v>
      </c>
      <c r="K13" s="58">
        <v>23878</v>
      </c>
      <c r="L13" s="177">
        <v>22042</v>
      </c>
      <c r="M13" s="66">
        <v>21202</v>
      </c>
      <c r="N13" s="66">
        <f>SUM('Qtr metrics '!AT13:AW13)</f>
        <v>22217</v>
      </c>
      <c r="O13" s="66">
        <f>SUM('Qtr metrics '!AX13:BA13)</f>
        <v>21271</v>
      </c>
      <c r="P13" s="250">
        <v>20017</v>
      </c>
    </row>
    <row r="14" spans="1:16" ht="12.75">
      <c r="A14" s="2" t="s">
        <v>178</v>
      </c>
      <c r="B14" s="16"/>
      <c r="C14" s="58">
        <v>0</v>
      </c>
      <c r="D14" s="58">
        <v>0</v>
      </c>
      <c r="E14" s="58">
        <v>0</v>
      </c>
      <c r="F14" s="58">
        <v>0</v>
      </c>
      <c r="G14" s="58">
        <v>0</v>
      </c>
      <c r="H14" s="58">
        <v>0</v>
      </c>
      <c r="I14" s="58">
        <v>0</v>
      </c>
      <c r="J14" s="58">
        <v>0</v>
      </c>
      <c r="K14" s="58">
        <v>0</v>
      </c>
      <c r="L14" s="177">
        <v>2370</v>
      </c>
      <c r="M14" s="66">
        <v>21064</v>
      </c>
      <c r="N14" s="66">
        <f>SUM('Qtr metrics '!AT14:AW14)</f>
        <v>22478</v>
      </c>
      <c r="O14" s="66">
        <f>SUM('Qtr metrics '!AX14:BA14)</f>
        <v>21814</v>
      </c>
      <c r="P14" s="250">
        <v>21197</v>
      </c>
    </row>
    <row r="15" spans="1:16" ht="12.75">
      <c r="A15" s="2" t="s">
        <v>136</v>
      </c>
      <c r="B15" s="2"/>
      <c r="C15" s="58">
        <v>0</v>
      </c>
      <c r="D15" s="58">
        <v>3013</v>
      </c>
      <c r="E15" s="58">
        <v>7878</v>
      </c>
      <c r="F15" s="58">
        <v>3301</v>
      </c>
      <c r="G15" s="58">
        <v>4583</v>
      </c>
      <c r="H15" s="58">
        <v>803</v>
      </c>
      <c r="I15" s="66">
        <v>0</v>
      </c>
      <c r="J15" s="58">
        <v>0</v>
      </c>
      <c r="K15" s="58">
        <v>0</v>
      </c>
      <c r="L15" s="177">
        <v>0</v>
      </c>
      <c r="M15" s="66">
        <v>0</v>
      </c>
      <c r="N15" s="66">
        <v>0</v>
      </c>
      <c r="O15" s="66">
        <f>SUM('Qtr metrics '!AX15:BA15)</f>
        <v>0</v>
      </c>
      <c r="P15" s="250">
        <v>0</v>
      </c>
    </row>
    <row r="16" spans="1:16" ht="12.75">
      <c r="A16" s="2" t="s">
        <v>107</v>
      </c>
      <c r="B16" s="2"/>
      <c r="C16" s="58">
        <v>0</v>
      </c>
      <c r="D16" s="58">
        <v>382</v>
      </c>
      <c r="E16" s="58">
        <v>6299</v>
      </c>
      <c r="F16" s="58">
        <v>5340</v>
      </c>
      <c r="G16" s="58">
        <v>6596</v>
      </c>
      <c r="H16" s="58">
        <v>6645</v>
      </c>
      <c r="I16" s="66">
        <v>6076</v>
      </c>
      <c r="J16" s="58">
        <v>319</v>
      </c>
      <c r="K16" s="58">
        <v>0</v>
      </c>
      <c r="L16" s="177">
        <v>0</v>
      </c>
      <c r="M16" s="66">
        <v>0</v>
      </c>
      <c r="N16" s="66">
        <v>0</v>
      </c>
      <c r="O16" s="66">
        <f>SUM('Qtr metrics '!AX16:BA16)</f>
        <v>0</v>
      </c>
      <c r="P16" s="250">
        <v>0</v>
      </c>
    </row>
    <row r="17" spans="1:16" ht="12.75">
      <c r="A17" s="2" t="s">
        <v>108</v>
      </c>
      <c r="B17" s="2"/>
      <c r="C17" s="58">
        <v>0</v>
      </c>
      <c r="D17" s="58">
        <v>1520</v>
      </c>
      <c r="E17" s="58">
        <v>1572</v>
      </c>
      <c r="F17" s="58">
        <v>1293</v>
      </c>
      <c r="G17" s="58">
        <v>1726</v>
      </c>
      <c r="H17" s="58">
        <v>1710</v>
      </c>
      <c r="I17" s="66">
        <v>1747</v>
      </c>
      <c r="J17" s="58">
        <v>120</v>
      </c>
      <c r="K17" s="58">
        <v>0</v>
      </c>
      <c r="L17" s="177">
        <v>0</v>
      </c>
      <c r="M17" s="66">
        <v>0</v>
      </c>
      <c r="N17" s="66">
        <v>0</v>
      </c>
      <c r="O17" s="66">
        <f>SUM('Qtr metrics '!AX17:BA17)</f>
        <v>0</v>
      </c>
      <c r="P17" s="250">
        <v>0</v>
      </c>
    </row>
    <row r="18" spans="1:16" ht="12.75">
      <c r="A18" s="2" t="s">
        <v>109</v>
      </c>
      <c r="B18" s="2"/>
      <c r="C18" s="58">
        <v>0</v>
      </c>
      <c r="D18" s="58">
        <v>560</v>
      </c>
      <c r="E18" s="58">
        <v>2267</v>
      </c>
      <c r="F18" s="58">
        <v>1918</v>
      </c>
      <c r="G18" s="58">
        <v>2542</v>
      </c>
      <c r="H18" s="58">
        <v>2560</v>
      </c>
      <c r="I18" s="66">
        <v>2642</v>
      </c>
      <c r="J18" s="58">
        <v>83</v>
      </c>
      <c r="K18" s="58">
        <v>0</v>
      </c>
      <c r="L18" s="177">
        <v>0</v>
      </c>
      <c r="M18" s="66">
        <v>0</v>
      </c>
      <c r="N18" s="66">
        <v>0</v>
      </c>
      <c r="O18" s="66">
        <f>SUM('Qtr metrics '!AX18:BA18)</f>
        <v>0</v>
      </c>
      <c r="P18" s="250">
        <v>0</v>
      </c>
    </row>
    <row r="19" spans="1:16" ht="12.75">
      <c r="A19" s="2" t="s">
        <v>31</v>
      </c>
      <c r="B19" s="2"/>
      <c r="C19" s="58">
        <v>2226</v>
      </c>
      <c r="D19" s="58">
        <v>7319</v>
      </c>
      <c r="E19" s="58">
        <v>495</v>
      </c>
      <c r="F19" s="58">
        <v>0</v>
      </c>
      <c r="G19" s="58">
        <v>0</v>
      </c>
      <c r="H19" s="58">
        <v>0</v>
      </c>
      <c r="I19" s="66">
        <v>0</v>
      </c>
      <c r="J19" s="58">
        <v>0</v>
      </c>
      <c r="K19" s="58">
        <v>0</v>
      </c>
      <c r="L19" s="177">
        <v>0</v>
      </c>
      <c r="M19" s="66">
        <v>0</v>
      </c>
      <c r="N19" s="66">
        <v>0</v>
      </c>
      <c r="O19" s="66">
        <f>SUM('Qtr metrics '!AX19:BA19)</f>
        <v>0</v>
      </c>
      <c r="P19" s="250">
        <v>0</v>
      </c>
    </row>
    <row r="20" spans="1:16" ht="13.5" thickBot="1">
      <c r="A20" s="2" t="s">
        <v>29</v>
      </c>
      <c r="B20" s="2"/>
      <c r="C20" s="59">
        <f aca="true" t="shared" si="0" ref="C20:I20">SUM(C8:C19)</f>
        <v>34891</v>
      </c>
      <c r="D20" s="59">
        <f t="shared" si="0"/>
        <v>75247</v>
      </c>
      <c r="E20" s="59">
        <f t="shared" si="0"/>
        <v>106954</v>
      </c>
      <c r="F20" s="59">
        <f t="shared" si="0"/>
        <v>72315</v>
      </c>
      <c r="G20" s="59">
        <f t="shared" si="0"/>
        <v>117934</v>
      </c>
      <c r="H20" s="59">
        <f t="shared" si="0"/>
        <v>119567</v>
      </c>
      <c r="I20" s="126">
        <f t="shared" si="0"/>
        <v>132861</v>
      </c>
      <c r="J20" s="59">
        <f aca="true" t="shared" si="1" ref="J20:P20">SUM(J8:J19)</f>
        <v>118197</v>
      </c>
      <c r="K20" s="59">
        <f t="shared" si="1"/>
        <v>118838</v>
      </c>
      <c r="L20" s="178">
        <f t="shared" si="1"/>
        <v>142187</v>
      </c>
      <c r="M20" s="179">
        <f t="shared" si="1"/>
        <v>156497</v>
      </c>
      <c r="N20" s="179">
        <f t="shared" si="1"/>
        <v>156551</v>
      </c>
      <c r="O20" s="179">
        <f t="shared" si="1"/>
        <v>133306</v>
      </c>
      <c r="P20" s="179">
        <f t="shared" si="1"/>
        <v>125060</v>
      </c>
    </row>
    <row r="21" spans="1:16" s="19" customFormat="1" ht="12.75">
      <c r="A21" s="52"/>
      <c r="C21" s="66"/>
      <c r="D21" s="66"/>
      <c r="E21" s="66"/>
      <c r="F21" s="66"/>
      <c r="G21" s="66"/>
      <c r="L21" s="6"/>
      <c r="M21" s="66"/>
      <c r="P21" s="189"/>
    </row>
    <row r="22" spans="1:15" ht="12.75">
      <c r="A22" s="16" t="s">
        <v>2</v>
      </c>
      <c r="B22" s="16"/>
      <c r="C22" s="58"/>
      <c r="D22" s="58"/>
      <c r="E22" s="58"/>
      <c r="F22" s="58"/>
      <c r="G22" s="58"/>
      <c r="M22" s="66"/>
      <c r="N22" s="19"/>
      <c r="O22" s="19"/>
    </row>
    <row r="23" spans="1:16" ht="12.75">
      <c r="A23" s="2" t="s">
        <v>357</v>
      </c>
      <c r="B23" s="16"/>
      <c r="C23" s="58">
        <v>12858</v>
      </c>
      <c r="D23" s="58">
        <v>16959</v>
      </c>
      <c r="E23" s="58">
        <v>16999</v>
      </c>
      <c r="F23" s="58">
        <v>12737</v>
      </c>
      <c r="G23" s="58">
        <v>16959</v>
      </c>
      <c r="H23" s="58">
        <v>16967</v>
      </c>
      <c r="I23" s="66">
        <v>17014</v>
      </c>
      <c r="J23" s="58">
        <v>17808</v>
      </c>
      <c r="K23" s="58">
        <v>20307</v>
      </c>
      <c r="L23" s="177">
        <v>20876</v>
      </c>
      <c r="M23" s="65">
        <v>18925</v>
      </c>
      <c r="N23" s="65">
        <f>SUM('Qtr metrics '!AT38:AW38)</f>
        <v>17111</v>
      </c>
      <c r="O23" s="65">
        <f>SUM('Qtr metrics '!AX38:BA38)</f>
        <v>14426</v>
      </c>
      <c r="P23" s="67">
        <v>16268</v>
      </c>
    </row>
    <row r="24" spans="1:16" ht="12.75">
      <c r="A24" s="2" t="s">
        <v>102</v>
      </c>
      <c r="B24" s="16"/>
      <c r="C24" s="58">
        <v>-59</v>
      </c>
      <c r="D24" s="58">
        <v>2951</v>
      </c>
      <c r="E24" s="58">
        <v>4967</v>
      </c>
      <c r="F24" s="58">
        <v>4052</v>
      </c>
      <c r="G24" s="58">
        <v>5086</v>
      </c>
      <c r="H24" s="58">
        <v>4102</v>
      </c>
      <c r="I24" s="66">
        <v>4009</v>
      </c>
      <c r="J24" s="58">
        <v>3601</v>
      </c>
      <c r="K24" s="58">
        <v>3675</v>
      </c>
      <c r="L24" s="177">
        <v>4258</v>
      </c>
      <c r="M24" s="65">
        <v>4202</v>
      </c>
      <c r="N24" s="65">
        <f>SUM('Qtr metrics '!AT39:AW39)</f>
        <v>4247</v>
      </c>
      <c r="O24" s="65">
        <f>SUM('Qtr metrics '!AX39:BA39)</f>
        <v>3173</v>
      </c>
      <c r="P24" s="67">
        <v>0</v>
      </c>
    </row>
    <row r="25" spans="1:16" ht="12.75">
      <c r="A25" s="2" t="s">
        <v>103</v>
      </c>
      <c r="B25" s="16"/>
      <c r="C25" s="58">
        <v>0</v>
      </c>
      <c r="D25" s="58">
        <v>2861</v>
      </c>
      <c r="E25" s="58">
        <v>15914</v>
      </c>
      <c r="F25" s="58">
        <v>8454</v>
      </c>
      <c r="G25" s="58">
        <v>10629</v>
      </c>
      <c r="H25" s="58">
        <v>11248</v>
      </c>
      <c r="I25" s="66">
        <v>10946</v>
      </c>
      <c r="J25" s="58">
        <v>23</v>
      </c>
      <c r="K25" s="58">
        <v>0</v>
      </c>
      <c r="L25" s="177">
        <v>0</v>
      </c>
      <c r="M25" s="65">
        <v>0</v>
      </c>
      <c r="N25" s="65">
        <f>SUM('Qtr metrics '!AT40:AW40)</f>
        <v>0</v>
      </c>
      <c r="O25" s="65">
        <f>SUM('Qtr metrics '!AX40:BA40)</f>
        <v>0</v>
      </c>
      <c r="P25" s="67">
        <v>0</v>
      </c>
    </row>
    <row r="26" spans="1:16" ht="12.75">
      <c r="A26" s="2" t="s">
        <v>104</v>
      </c>
      <c r="B26" s="16"/>
      <c r="C26" s="58">
        <v>0</v>
      </c>
      <c r="D26" s="58">
        <v>0</v>
      </c>
      <c r="E26" s="58">
        <v>0</v>
      </c>
      <c r="F26" s="58">
        <v>2122</v>
      </c>
      <c r="G26" s="58">
        <v>21315</v>
      </c>
      <c r="H26" s="58">
        <v>21329</v>
      </c>
      <c r="I26" s="66">
        <v>21329</v>
      </c>
      <c r="J26" s="58">
        <v>21328</v>
      </c>
      <c r="K26" s="58">
        <v>22597</v>
      </c>
      <c r="L26" s="177">
        <v>36409</v>
      </c>
      <c r="M26" s="65">
        <v>40179</v>
      </c>
      <c r="N26" s="65">
        <f>SUM('Qtr metrics '!AT41:AW41)</f>
        <v>38879</v>
      </c>
      <c r="O26" s="65">
        <f>SUM('Qtr metrics '!AX41:BA41)</f>
        <v>26019</v>
      </c>
      <c r="P26" s="67">
        <v>21559</v>
      </c>
    </row>
    <row r="27" spans="1:16" ht="12.75">
      <c r="A27" s="2" t="s">
        <v>105</v>
      </c>
      <c r="B27" s="16"/>
      <c r="C27" s="58">
        <v>13732</v>
      </c>
      <c r="D27" s="58">
        <v>22450</v>
      </c>
      <c r="E27" s="58">
        <v>22329</v>
      </c>
      <c r="F27" s="58">
        <v>14623</v>
      </c>
      <c r="G27" s="58">
        <v>20758</v>
      </c>
      <c r="H27" s="58">
        <v>24271</v>
      </c>
      <c r="I27" s="66">
        <v>26155</v>
      </c>
      <c r="J27" s="58">
        <v>26448</v>
      </c>
      <c r="K27" s="58">
        <v>24504</v>
      </c>
      <c r="L27" s="177">
        <v>20589</v>
      </c>
      <c r="M27" s="65">
        <v>18570</v>
      </c>
      <c r="N27" s="65">
        <f>SUM('Qtr metrics '!AT42:AW42)</f>
        <v>19228</v>
      </c>
      <c r="O27" s="65">
        <f>SUM('Qtr metrics '!AX42:BA42)</f>
        <v>13950</v>
      </c>
      <c r="P27" s="67">
        <v>13175</v>
      </c>
    </row>
    <row r="28" spans="1:16" ht="12.75">
      <c r="A28" s="2" t="s">
        <v>106</v>
      </c>
      <c r="B28" s="16"/>
      <c r="C28" s="58">
        <v>0</v>
      </c>
      <c r="D28" s="58">
        <v>5117</v>
      </c>
      <c r="E28" s="58">
        <v>9677</v>
      </c>
      <c r="F28" s="58">
        <v>6998</v>
      </c>
      <c r="G28" s="58">
        <v>10071</v>
      </c>
      <c r="H28" s="58">
        <v>10929</v>
      </c>
      <c r="I28" s="66">
        <v>16226</v>
      </c>
      <c r="J28" s="58">
        <v>21452</v>
      </c>
      <c r="K28" s="58">
        <v>19471</v>
      </c>
      <c r="L28" s="177">
        <v>17880</v>
      </c>
      <c r="M28" s="65">
        <v>17362</v>
      </c>
      <c r="N28" s="65">
        <f>SUM('Qtr metrics '!AT43:AW43)</f>
        <v>17383</v>
      </c>
      <c r="O28" s="65">
        <f>SUM('Qtr metrics '!AX43:BA43)</f>
        <v>15477</v>
      </c>
      <c r="P28" s="67">
        <v>16439</v>
      </c>
    </row>
    <row r="29" spans="1:16" ht="12.75">
      <c r="A29" s="2" t="s">
        <v>178</v>
      </c>
      <c r="B29" s="16"/>
      <c r="C29" s="58">
        <v>0</v>
      </c>
      <c r="D29" s="58">
        <v>0</v>
      </c>
      <c r="E29" s="58">
        <v>0</v>
      </c>
      <c r="F29" s="58">
        <v>0</v>
      </c>
      <c r="G29" s="58">
        <v>0</v>
      </c>
      <c r="H29" s="58">
        <v>0</v>
      </c>
      <c r="I29" s="58">
        <v>0</v>
      </c>
      <c r="J29" s="58">
        <v>0</v>
      </c>
      <c r="K29" s="58">
        <v>0</v>
      </c>
      <c r="L29" s="177">
        <v>1856</v>
      </c>
      <c r="M29" s="65">
        <v>16376</v>
      </c>
      <c r="N29" s="65">
        <f>SUM('Qtr metrics '!AT44:AW44)</f>
        <v>16995</v>
      </c>
      <c r="O29" s="65">
        <f>SUM('Qtr metrics '!AX44:BA44)</f>
        <v>16227</v>
      </c>
      <c r="P29" s="67">
        <v>15248</v>
      </c>
    </row>
    <row r="30" spans="1:16" ht="12.75">
      <c r="A30" s="2" t="s">
        <v>136</v>
      </c>
      <c r="B30" s="16"/>
      <c r="C30" s="58">
        <v>0</v>
      </c>
      <c r="D30" s="58">
        <v>1985</v>
      </c>
      <c r="E30" s="58">
        <v>4244</v>
      </c>
      <c r="F30" s="58">
        <v>780</v>
      </c>
      <c r="G30" s="58">
        <v>895</v>
      </c>
      <c r="H30" s="58">
        <v>-252</v>
      </c>
      <c r="I30" s="66">
        <v>0</v>
      </c>
      <c r="J30" s="58">
        <v>0</v>
      </c>
      <c r="K30" s="58">
        <v>0</v>
      </c>
      <c r="L30" s="177">
        <v>0</v>
      </c>
      <c r="M30" s="65">
        <v>0</v>
      </c>
      <c r="N30" s="65">
        <v>0</v>
      </c>
      <c r="O30" s="65">
        <f>SUM('Qtr metrics '!AX45:BA45)</f>
        <v>0</v>
      </c>
      <c r="P30" s="67">
        <v>0</v>
      </c>
    </row>
    <row r="31" spans="1:16" ht="12.75">
      <c r="A31" s="2" t="s">
        <v>107</v>
      </c>
      <c r="B31" s="16"/>
      <c r="C31" s="58">
        <v>0</v>
      </c>
      <c r="D31" s="58">
        <v>261</v>
      </c>
      <c r="E31" s="58">
        <v>3708</v>
      </c>
      <c r="F31" s="58">
        <v>3440</v>
      </c>
      <c r="G31" s="58">
        <v>3999</v>
      </c>
      <c r="H31" s="58">
        <v>4106</v>
      </c>
      <c r="I31" s="66">
        <v>3354</v>
      </c>
      <c r="J31" s="58">
        <v>127</v>
      </c>
      <c r="K31" s="58">
        <v>0</v>
      </c>
      <c r="L31" s="177">
        <v>0</v>
      </c>
      <c r="M31" s="65">
        <v>0</v>
      </c>
      <c r="N31" s="65">
        <v>0</v>
      </c>
      <c r="O31" s="65">
        <f>SUM('Qtr metrics '!AX46:BA46)</f>
        <v>0</v>
      </c>
      <c r="P31" s="250">
        <v>0</v>
      </c>
    </row>
    <row r="32" spans="1:16" ht="12.75">
      <c r="A32" s="2" t="s">
        <v>108</v>
      </c>
      <c r="B32" s="16"/>
      <c r="C32" s="58">
        <v>0</v>
      </c>
      <c r="D32" s="58">
        <v>1027</v>
      </c>
      <c r="E32" s="58">
        <v>935</v>
      </c>
      <c r="F32" s="58">
        <v>852</v>
      </c>
      <c r="G32" s="58">
        <v>1168</v>
      </c>
      <c r="H32" s="58">
        <v>1159</v>
      </c>
      <c r="I32" s="66">
        <v>1211</v>
      </c>
      <c r="J32" s="58">
        <v>85</v>
      </c>
      <c r="K32" s="58">
        <v>0</v>
      </c>
      <c r="L32" s="177">
        <v>0</v>
      </c>
      <c r="M32" s="65">
        <v>0</v>
      </c>
      <c r="N32" s="65">
        <v>0</v>
      </c>
      <c r="O32" s="65">
        <f>SUM('Qtr metrics '!AX47:BA47)</f>
        <v>0</v>
      </c>
      <c r="P32" s="250">
        <v>0</v>
      </c>
    </row>
    <row r="33" spans="1:16" ht="12.75">
      <c r="A33" s="2" t="s">
        <v>109</v>
      </c>
      <c r="B33" s="16"/>
      <c r="C33" s="58">
        <v>0</v>
      </c>
      <c r="D33" s="58">
        <v>491</v>
      </c>
      <c r="E33" s="58">
        <v>1691</v>
      </c>
      <c r="F33" s="58">
        <v>1644</v>
      </c>
      <c r="G33" s="58">
        <v>2158</v>
      </c>
      <c r="H33" s="58">
        <v>2158</v>
      </c>
      <c r="I33" s="66">
        <v>2272</v>
      </c>
      <c r="J33" s="58">
        <v>64</v>
      </c>
      <c r="K33" s="58">
        <v>0</v>
      </c>
      <c r="L33" s="177">
        <v>0</v>
      </c>
      <c r="M33" s="65">
        <v>0</v>
      </c>
      <c r="N33" s="65">
        <v>0</v>
      </c>
      <c r="O33" s="65">
        <f>SUM('Qtr metrics '!AX48:BA48)</f>
        <v>0</v>
      </c>
      <c r="P33" s="250">
        <v>0</v>
      </c>
    </row>
    <row r="34" spans="1:16" ht="12.75">
      <c r="A34" s="2" t="s">
        <v>31</v>
      </c>
      <c r="B34" s="16"/>
      <c r="C34" s="66">
        <v>2226</v>
      </c>
      <c r="D34" s="58">
        <v>7319</v>
      </c>
      <c r="E34" s="58">
        <v>495</v>
      </c>
      <c r="F34" s="58">
        <v>0</v>
      </c>
      <c r="G34" s="58">
        <v>0</v>
      </c>
      <c r="H34" s="58">
        <v>0</v>
      </c>
      <c r="I34" s="66">
        <v>0</v>
      </c>
      <c r="J34" s="58">
        <v>0</v>
      </c>
      <c r="K34" s="58">
        <v>0</v>
      </c>
      <c r="L34" s="177">
        <v>0</v>
      </c>
      <c r="M34" s="65">
        <v>0</v>
      </c>
      <c r="N34" s="65">
        <v>0</v>
      </c>
      <c r="O34" s="65">
        <f>SUM('Qtr metrics '!AX49:BA49)</f>
        <v>0</v>
      </c>
      <c r="P34" s="250">
        <v>0</v>
      </c>
    </row>
    <row r="35" spans="1:16" ht="13.5" thickBot="1">
      <c r="A35" s="2" t="s">
        <v>29</v>
      </c>
      <c r="B35" s="2"/>
      <c r="C35" s="126">
        <f aca="true" t="shared" si="2" ref="C35:H35">SUM(C23:C34)</f>
        <v>28757</v>
      </c>
      <c r="D35" s="59">
        <f t="shared" si="2"/>
        <v>61421</v>
      </c>
      <c r="E35" s="59">
        <f t="shared" si="2"/>
        <v>80959</v>
      </c>
      <c r="F35" s="59">
        <f t="shared" si="2"/>
        <v>55702</v>
      </c>
      <c r="G35" s="59">
        <f t="shared" si="2"/>
        <v>93038</v>
      </c>
      <c r="H35" s="59">
        <f t="shared" si="2"/>
        <v>96017</v>
      </c>
      <c r="I35" s="126">
        <f aca="true" t="shared" si="3" ref="I35:N35">SUM(I23:I34)</f>
        <v>102516</v>
      </c>
      <c r="J35" s="59">
        <f t="shared" si="3"/>
        <v>90936</v>
      </c>
      <c r="K35" s="59">
        <f t="shared" si="3"/>
        <v>90554</v>
      </c>
      <c r="L35" s="178">
        <f t="shared" si="3"/>
        <v>101868</v>
      </c>
      <c r="M35" s="179">
        <f t="shared" si="3"/>
        <v>115614</v>
      </c>
      <c r="N35" s="179">
        <f t="shared" si="3"/>
        <v>113843</v>
      </c>
      <c r="O35" s="179">
        <f>SUM(O23:O34)</f>
        <v>89272</v>
      </c>
      <c r="P35" s="179">
        <f>SUM(P23:P34)</f>
        <v>82689</v>
      </c>
    </row>
    <row r="36" spans="3:16" s="19" customFormat="1" ht="12.75">
      <c r="C36" s="66"/>
      <c r="D36" s="66"/>
      <c r="E36" s="66"/>
      <c r="F36" s="66"/>
      <c r="G36" s="66"/>
      <c r="M36" s="65"/>
      <c r="P36" s="188"/>
    </row>
    <row r="37" spans="1:16" ht="12.75">
      <c r="A37" s="13" t="s">
        <v>78</v>
      </c>
      <c r="B37" s="13"/>
      <c r="C37" s="66"/>
      <c r="D37" s="58"/>
      <c r="E37" s="58"/>
      <c r="F37" s="58"/>
      <c r="G37" s="58"/>
      <c r="M37" s="65"/>
      <c r="N37" s="19"/>
      <c r="O37" s="19"/>
      <c r="P37" s="188"/>
    </row>
    <row r="38" spans="1:16" ht="12.75">
      <c r="A38" s="2" t="s">
        <v>357</v>
      </c>
      <c r="B38" s="13"/>
      <c r="C38" s="127">
        <v>422</v>
      </c>
      <c r="D38" s="73">
        <v>567.5</v>
      </c>
      <c r="E38" s="73">
        <v>575</v>
      </c>
      <c r="F38" s="73">
        <v>512.5</v>
      </c>
      <c r="G38" s="73">
        <v>545</v>
      </c>
      <c r="H38" s="73">
        <v>555</v>
      </c>
      <c r="I38" s="127">
        <v>558</v>
      </c>
      <c r="J38" s="73">
        <v>573</v>
      </c>
      <c r="K38" s="73">
        <v>579</v>
      </c>
      <c r="L38" s="73">
        <v>570</v>
      </c>
      <c r="M38" s="191">
        <v>562.5</v>
      </c>
      <c r="N38" s="191">
        <v>565</v>
      </c>
      <c r="O38" s="191">
        <v>582.4</v>
      </c>
      <c r="P38" s="238">
        <v>648</v>
      </c>
    </row>
    <row r="39" spans="1:16" ht="12.75">
      <c r="A39" s="2" t="s">
        <v>102</v>
      </c>
      <c r="B39" s="13"/>
      <c r="C39" s="127">
        <v>91</v>
      </c>
      <c r="D39" s="73">
        <v>148</v>
      </c>
      <c r="E39" s="73">
        <v>148</v>
      </c>
      <c r="F39" s="73">
        <v>119.5</v>
      </c>
      <c r="G39" s="73">
        <v>119.7</v>
      </c>
      <c r="H39" s="73">
        <v>126</v>
      </c>
      <c r="I39" s="127">
        <v>128</v>
      </c>
      <c r="J39" s="73">
        <v>133</v>
      </c>
      <c r="K39" s="73">
        <v>134.2</v>
      </c>
      <c r="L39" s="73">
        <v>136</v>
      </c>
      <c r="M39" s="191">
        <v>139</v>
      </c>
      <c r="N39" s="191">
        <v>139</v>
      </c>
      <c r="O39" s="191" t="s">
        <v>81</v>
      </c>
      <c r="P39" s="238" t="s">
        <v>81</v>
      </c>
    </row>
    <row r="40" spans="1:16" ht="12.75">
      <c r="A40" s="2" t="s">
        <v>103</v>
      </c>
      <c r="B40" s="13"/>
      <c r="C40" s="127">
        <v>0</v>
      </c>
      <c r="D40" s="73">
        <v>374.4</v>
      </c>
      <c r="E40" s="73">
        <v>310</v>
      </c>
      <c r="F40" s="73">
        <v>283</v>
      </c>
      <c r="G40" s="73">
        <v>283</v>
      </c>
      <c r="H40" s="73">
        <v>285</v>
      </c>
      <c r="I40" s="127">
        <v>0</v>
      </c>
      <c r="J40" s="73">
        <v>0</v>
      </c>
      <c r="K40" s="73">
        <v>0</v>
      </c>
      <c r="L40" s="73">
        <v>0</v>
      </c>
      <c r="M40" s="73">
        <v>0</v>
      </c>
      <c r="N40" s="73">
        <v>0</v>
      </c>
      <c r="O40" s="127">
        <v>0</v>
      </c>
      <c r="P40" s="238" t="s">
        <v>318</v>
      </c>
    </row>
    <row r="41" spans="1:16" ht="12.75">
      <c r="A41" s="2" t="s">
        <v>104</v>
      </c>
      <c r="B41" s="13"/>
      <c r="C41" s="127">
        <v>0</v>
      </c>
      <c r="D41" s="73">
        <v>0</v>
      </c>
      <c r="E41" s="73">
        <v>0</v>
      </c>
      <c r="F41" s="73">
        <v>345</v>
      </c>
      <c r="G41" s="73">
        <v>351.2</v>
      </c>
      <c r="H41" s="73">
        <v>359</v>
      </c>
      <c r="I41" s="127">
        <v>390</v>
      </c>
      <c r="J41" s="73">
        <v>465</v>
      </c>
      <c r="K41" s="73">
        <v>503</v>
      </c>
      <c r="L41" s="73">
        <v>503</v>
      </c>
      <c r="M41" s="191">
        <v>508</v>
      </c>
      <c r="N41" s="191">
        <v>508</v>
      </c>
      <c r="O41" s="191">
        <v>558</v>
      </c>
      <c r="P41" s="238">
        <v>606</v>
      </c>
    </row>
    <row r="42" spans="1:16" ht="12.75">
      <c r="A42" s="2" t="s">
        <v>105</v>
      </c>
      <c r="B42" s="13"/>
      <c r="C42" s="127">
        <v>310.6</v>
      </c>
      <c r="D42" s="73">
        <v>411</v>
      </c>
      <c r="E42" s="73">
        <v>284.8</v>
      </c>
      <c r="F42" s="73">
        <v>349</v>
      </c>
      <c r="G42" s="73">
        <v>360.2</v>
      </c>
      <c r="H42" s="73">
        <v>373.4</v>
      </c>
      <c r="I42" s="127">
        <v>426.8</v>
      </c>
      <c r="J42" s="73">
        <v>408</v>
      </c>
      <c r="K42" s="73">
        <v>375.4</v>
      </c>
      <c r="L42" s="73">
        <v>290.3</v>
      </c>
      <c r="M42" s="191">
        <v>276.1</v>
      </c>
      <c r="N42" s="191">
        <v>289.8</v>
      </c>
      <c r="O42" s="191">
        <v>288.2</v>
      </c>
      <c r="P42" s="238">
        <v>289</v>
      </c>
    </row>
    <row r="43" spans="1:16" ht="12.75">
      <c r="A43" s="2" t="s">
        <v>300</v>
      </c>
      <c r="B43" s="13"/>
      <c r="C43" s="127">
        <v>0</v>
      </c>
      <c r="D43" s="73">
        <v>137.9</v>
      </c>
      <c r="E43" s="73">
        <v>92</v>
      </c>
      <c r="F43" s="73">
        <v>108.1</v>
      </c>
      <c r="G43" s="73">
        <v>112.8</v>
      </c>
      <c r="H43" s="73">
        <v>121.3</v>
      </c>
      <c r="I43" s="127">
        <f>254.8</f>
        <v>254.8</v>
      </c>
      <c r="J43" s="73">
        <v>232.4</v>
      </c>
      <c r="K43" s="73">
        <v>233.2</v>
      </c>
      <c r="L43" s="73">
        <v>215.2</v>
      </c>
      <c r="M43" s="192">
        <v>237</v>
      </c>
      <c r="N43" s="191">
        <f>265.9</f>
        <v>265.9</v>
      </c>
      <c r="O43" s="191">
        <v>249.6</v>
      </c>
      <c r="P43" s="238">
        <v>228</v>
      </c>
    </row>
    <row r="44" spans="1:16" ht="12.75">
      <c r="A44" s="2" t="s">
        <v>178</v>
      </c>
      <c r="B44" s="13"/>
      <c r="C44" s="127">
        <v>0</v>
      </c>
      <c r="D44" s="127">
        <v>0</v>
      </c>
      <c r="E44" s="127">
        <v>0</v>
      </c>
      <c r="F44" s="127">
        <v>0</v>
      </c>
      <c r="G44" s="127">
        <v>0</v>
      </c>
      <c r="H44" s="127">
        <v>0</v>
      </c>
      <c r="I44" s="127">
        <v>0</v>
      </c>
      <c r="J44" s="127">
        <v>0</v>
      </c>
      <c r="K44" s="127">
        <v>0</v>
      </c>
      <c r="L44" s="73">
        <v>240.3</v>
      </c>
      <c r="M44" s="192">
        <v>266.7</v>
      </c>
      <c r="N44" s="191">
        <v>303.1</v>
      </c>
      <c r="O44" s="191">
        <v>299.1</v>
      </c>
      <c r="P44" s="238">
        <v>305.3</v>
      </c>
    </row>
    <row r="45" spans="1:16" ht="12.75">
      <c r="A45" s="2" t="s">
        <v>136</v>
      </c>
      <c r="B45" s="13"/>
      <c r="C45" s="127">
        <v>0</v>
      </c>
      <c r="D45" s="73">
        <v>84.7</v>
      </c>
      <c r="E45" s="73">
        <v>72.5</v>
      </c>
      <c r="F45" s="73">
        <v>54.6</v>
      </c>
      <c r="G45" s="73">
        <v>48.9</v>
      </c>
      <c r="H45" s="73">
        <v>0</v>
      </c>
      <c r="I45" s="127">
        <v>0</v>
      </c>
      <c r="J45" s="73">
        <v>0</v>
      </c>
      <c r="K45" s="73">
        <v>0</v>
      </c>
      <c r="L45" s="73">
        <v>0</v>
      </c>
      <c r="M45" s="73">
        <v>0</v>
      </c>
      <c r="N45" s="73">
        <v>0</v>
      </c>
      <c r="O45" s="73">
        <v>0</v>
      </c>
      <c r="P45" s="238" t="s">
        <v>318</v>
      </c>
    </row>
    <row r="46" spans="1:16" ht="12.75">
      <c r="A46" s="2" t="s">
        <v>107</v>
      </c>
      <c r="B46" s="13"/>
      <c r="C46" s="127">
        <v>0</v>
      </c>
      <c r="D46" s="73">
        <v>87</v>
      </c>
      <c r="E46" s="73">
        <v>102</v>
      </c>
      <c r="F46" s="73">
        <v>83.8</v>
      </c>
      <c r="G46" s="73">
        <v>74.2</v>
      </c>
      <c r="H46" s="73">
        <v>62.7</v>
      </c>
      <c r="I46" s="127">
        <v>43.1</v>
      </c>
      <c r="J46" s="73">
        <v>0</v>
      </c>
      <c r="K46" s="73">
        <v>0</v>
      </c>
      <c r="L46" s="73">
        <v>0</v>
      </c>
      <c r="M46" s="73">
        <v>0</v>
      </c>
      <c r="N46" s="73">
        <v>0</v>
      </c>
      <c r="O46" s="73">
        <v>0</v>
      </c>
      <c r="P46" s="238" t="s">
        <v>318</v>
      </c>
    </row>
    <row r="47" spans="1:16" ht="12.75">
      <c r="A47" s="2" t="s">
        <v>108</v>
      </c>
      <c r="C47" s="127">
        <v>0</v>
      </c>
      <c r="D47" s="73">
        <v>26</v>
      </c>
      <c r="E47" s="73">
        <v>29.6</v>
      </c>
      <c r="F47" s="73">
        <v>23.9</v>
      </c>
      <c r="G47" s="73">
        <v>22.4</v>
      </c>
      <c r="H47" s="73">
        <v>22.1</v>
      </c>
      <c r="I47" s="127">
        <v>20.9</v>
      </c>
      <c r="J47" s="73">
        <v>0</v>
      </c>
      <c r="K47" s="73">
        <v>0</v>
      </c>
      <c r="L47" s="73">
        <v>0</v>
      </c>
      <c r="M47" s="73">
        <v>0</v>
      </c>
      <c r="N47" s="73">
        <v>0</v>
      </c>
      <c r="O47" s="73">
        <v>0</v>
      </c>
      <c r="P47" s="238" t="s">
        <v>318</v>
      </c>
    </row>
    <row r="48" spans="1:16" ht="12.75">
      <c r="A48" s="2" t="s">
        <v>109</v>
      </c>
      <c r="C48" s="127">
        <v>0</v>
      </c>
      <c r="D48" s="73">
        <v>39.6</v>
      </c>
      <c r="E48" s="73">
        <v>45</v>
      </c>
      <c r="F48" s="73">
        <v>39.5</v>
      </c>
      <c r="G48" s="73">
        <v>37.9</v>
      </c>
      <c r="H48" s="73">
        <v>37.5</v>
      </c>
      <c r="I48" s="127">
        <v>30.4</v>
      </c>
      <c r="J48" s="73">
        <v>0</v>
      </c>
      <c r="K48" s="73">
        <v>0</v>
      </c>
      <c r="L48" s="73">
        <v>0</v>
      </c>
      <c r="M48" s="73">
        <v>0</v>
      </c>
      <c r="N48" s="73">
        <v>0</v>
      </c>
      <c r="O48" s="73">
        <v>0</v>
      </c>
      <c r="P48" s="238" t="s">
        <v>318</v>
      </c>
    </row>
    <row r="49" spans="1:16" ht="12.75">
      <c r="A49" s="2" t="s">
        <v>31</v>
      </c>
      <c r="C49" s="73"/>
      <c r="D49" s="73">
        <v>75.1</v>
      </c>
      <c r="E49" s="73">
        <v>26.3</v>
      </c>
      <c r="F49" s="73">
        <v>26.1</v>
      </c>
      <c r="G49" s="73">
        <v>29.9</v>
      </c>
      <c r="H49" s="73">
        <v>0</v>
      </c>
      <c r="I49" s="127">
        <v>0</v>
      </c>
      <c r="J49" s="73">
        <v>0</v>
      </c>
      <c r="K49" s="73">
        <v>0</v>
      </c>
      <c r="L49" s="73">
        <v>0</v>
      </c>
      <c r="M49" s="73">
        <v>0</v>
      </c>
      <c r="N49" s="73">
        <v>0</v>
      </c>
      <c r="O49" s="73">
        <v>0</v>
      </c>
      <c r="P49" s="238" t="s">
        <v>318</v>
      </c>
    </row>
    <row r="50" spans="1:16" ht="12.75">
      <c r="A50" s="2" t="s">
        <v>247</v>
      </c>
      <c r="C50" s="73"/>
      <c r="D50" s="73"/>
      <c r="E50" s="73"/>
      <c r="F50" s="73"/>
      <c r="G50" s="73"/>
      <c r="H50" s="73"/>
      <c r="I50" s="127"/>
      <c r="J50" s="73"/>
      <c r="K50" s="73"/>
      <c r="L50" s="73"/>
      <c r="M50" s="73"/>
      <c r="N50" s="73"/>
      <c r="O50" s="73">
        <v>156.2</v>
      </c>
      <c r="P50" s="238">
        <v>150.6</v>
      </c>
    </row>
    <row r="51" spans="1:16" ht="13.5" thickBot="1">
      <c r="A51" s="2" t="s">
        <v>29</v>
      </c>
      <c r="C51" s="74">
        <f aca="true" t="shared" si="4" ref="C51:H51">SUM(C38:C49)</f>
        <v>823.6</v>
      </c>
      <c r="D51" s="74">
        <f t="shared" si="4"/>
        <v>1951.2</v>
      </c>
      <c r="E51" s="74">
        <f t="shared" si="4"/>
        <v>1685.1999999999998</v>
      </c>
      <c r="F51" s="74">
        <f t="shared" si="4"/>
        <v>1944.9999999999998</v>
      </c>
      <c r="G51" s="74">
        <f t="shared" si="4"/>
        <v>1985.2000000000005</v>
      </c>
      <c r="H51" s="74">
        <f t="shared" si="4"/>
        <v>1942</v>
      </c>
      <c r="I51" s="176">
        <f>SUM(I38:I49)</f>
        <v>1852</v>
      </c>
      <c r="J51" s="176">
        <f aca="true" t="shared" si="5" ref="J51:P51">SUM(J38:J50)+0.1</f>
        <v>1811.5</v>
      </c>
      <c r="K51" s="176">
        <f t="shared" si="5"/>
        <v>1824.8999999999999</v>
      </c>
      <c r="L51" s="176">
        <f t="shared" si="5"/>
        <v>1954.8999999999999</v>
      </c>
      <c r="M51" s="176">
        <f t="shared" si="5"/>
        <v>1989.3999999999999</v>
      </c>
      <c r="N51" s="176">
        <f t="shared" si="5"/>
        <v>2070.8999999999996</v>
      </c>
      <c r="O51" s="176">
        <f t="shared" si="5"/>
        <v>2133.6</v>
      </c>
      <c r="P51" s="176">
        <f t="shared" si="5"/>
        <v>2227</v>
      </c>
    </row>
    <row r="52" spans="3:16" s="72" customFormat="1" ht="10.5">
      <c r="C52" s="75"/>
      <c r="D52" s="75"/>
      <c r="E52" s="75"/>
      <c r="F52" s="75"/>
      <c r="G52" s="75"/>
      <c r="I52" s="166"/>
      <c r="L52" s="113"/>
      <c r="P52" s="239"/>
    </row>
    <row r="53" spans="1:16" s="19" customFormat="1" ht="14.25">
      <c r="A53" s="108" t="s">
        <v>134</v>
      </c>
      <c r="B53" s="108"/>
      <c r="C53" s="109">
        <v>4.1499999999999995</v>
      </c>
      <c r="D53" s="109">
        <v>8.05</v>
      </c>
      <c r="E53" s="109">
        <v>7.65</v>
      </c>
      <c r="F53" s="109">
        <v>2.8000000000000003</v>
      </c>
      <c r="G53" s="109">
        <v>5.6000000000000005</v>
      </c>
      <c r="H53" s="109">
        <v>5.75</v>
      </c>
      <c r="I53" s="109">
        <v>6.69</v>
      </c>
      <c r="J53" s="109">
        <v>7.83</v>
      </c>
      <c r="K53" s="109">
        <v>8.51</v>
      </c>
      <c r="L53" s="109">
        <v>9.71</v>
      </c>
      <c r="M53" s="188">
        <v>9.82</v>
      </c>
      <c r="N53" s="188">
        <v>9.82</v>
      </c>
      <c r="O53" s="188">
        <v>9.6</v>
      </c>
      <c r="P53" s="189">
        <v>9.6</v>
      </c>
    </row>
    <row r="54" spans="3:16" s="19" customFormat="1" ht="12.75">
      <c r="C54" s="66">
        <v>0</v>
      </c>
      <c r="D54" s="66">
        <v>0</v>
      </c>
      <c r="E54" s="66">
        <v>0</v>
      </c>
      <c r="F54" s="66">
        <v>0</v>
      </c>
      <c r="G54" s="66">
        <v>0</v>
      </c>
      <c r="H54" s="109">
        <v>0</v>
      </c>
      <c r="I54" s="109">
        <v>0</v>
      </c>
      <c r="J54" s="109">
        <v>0</v>
      </c>
      <c r="K54" s="109">
        <v>0</v>
      </c>
      <c r="L54" s="116"/>
      <c r="M54" s="188"/>
      <c r="N54" s="188"/>
      <c r="O54" s="188"/>
      <c r="P54" s="189"/>
    </row>
    <row r="55" spans="1:16" ht="14.25">
      <c r="A55" s="13" t="s">
        <v>135</v>
      </c>
      <c r="B55" s="13"/>
      <c r="C55" s="56">
        <v>1.05</v>
      </c>
      <c r="D55" s="56">
        <v>1.75</v>
      </c>
      <c r="E55" s="56">
        <v>1.2</v>
      </c>
      <c r="F55" s="56">
        <v>1.35</v>
      </c>
      <c r="G55" s="56">
        <v>1.34</v>
      </c>
      <c r="H55" s="109">
        <v>1.34</v>
      </c>
      <c r="I55" s="109">
        <v>1.5</v>
      </c>
      <c r="J55" s="109">
        <v>1.57</v>
      </c>
      <c r="K55" s="109">
        <v>1.59</v>
      </c>
      <c r="L55" s="109">
        <v>1.53</v>
      </c>
      <c r="M55" s="189">
        <v>1.52</v>
      </c>
      <c r="N55" s="189">
        <v>1.58</v>
      </c>
      <c r="O55" s="189">
        <v>1.59</v>
      </c>
      <c r="P55" s="189">
        <v>1.61</v>
      </c>
    </row>
    <row r="56" spans="1:12" ht="12.75">
      <c r="A56" s="13"/>
      <c r="B56" s="13"/>
      <c r="C56" s="56"/>
      <c r="D56" s="56"/>
      <c r="E56" s="56"/>
      <c r="F56" s="56"/>
      <c r="G56" s="56"/>
      <c r="I56" s="158"/>
      <c r="J56" s="112"/>
      <c r="K56" s="112"/>
      <c r="L56" s="115"/>
    </row>
    <row r="57" spans="1:12" ht="12.75">
      <c r="A57" s="13" t="s">
        <v>77</v>
      </c>
      <c r="B57" s="13"/>
      <c r="C57" s="56"/>
      <c r="D57" s="56"/>
      <c r="E57" s="56"/>
      <c r="F57" s="56"/>
      <c r="G57" s="56"/>
      <c r="I57" s="159"/>
      <c r="J57" s="115"/>
      <c r="K57" s="115"/>
      <c r="L57" s="116"/>
    </row>
    <row r="58" spans="1:16" ht="15">
      <c r="A58" s="2" t="s">
        <v>357</v>
      </c>
      <c r="B58" s="52"/>
      <c r="C58" s="87">
        <v>1</v>
      </c>
      <c r="D58" s="87">
        <v>1</v>
      </c>
      <c r="E58" s="87">
        <v>1</v>
      </c>
      <c r="F58" s="87">
        <v>1</v>
      </c>
      <c r="G58" s="130">
        <v>1</v>
      </c>
      <c r="H58" s="130">
        <v>1</v>
      </c>
      <c r="I58" s="130" t="s">
        <v>168</v>
      </c>
      <c r="J58" s="130">
        <v>0.94</v>
      </c>
      <c r="K58" s="130">
        <v>0.99</v>
      </c>
      <c r="L58" s="130" t="s">
        <v>179</v>
      </c>
      <c r="M58" s="130" t="s">
        <v>187</v>
      </c>
      <c r="N58" s="130" t="s">
        <v>222</v>
      </c>
      <c r="O58" s="130" t="s">
        <v>279</v>
      </c>
      <c r="P58" s="198" t="s">
        <v>316</v>
      </c>
    </row>
    <row r="59" spans="1:16" ht="15">
      <c r="A59" s="2" t="s">
        <v>102</v>
      </c>
      <c r="B59" s="52"/>
      <c r="C59" s="87" t="s">
        <v>81</v>
      </c>
      <c r="D59" s="87">
        <v>1</v>
      </c>
      <c r="E59" s="87">
        <v>1</v>
      </c>
      <c r="F59" s="87">
        <v>0.931</v>
      </c>
      <c r="G59" s="130">
        <v>0.830575933655993</v>
      </c>
      <c r="H59" s="130">
        <v>0.9582021661651111</v>
      </c>
      <c r="I59" s="130">
        <v>0.9016028495102404</v>
      </c>
      <c r="J59" s="130">
        <v>1</v>
      </c>
      <c r="K59" s="130" t="s">
        <v>159</v>
      </c>
      <c r="L59" s="130">
        <v>0.96</v>
      </c>
      <c r="M59" s="130">
        <v>0.92</v>
      </c>
      <c r="N59" s="130" t="s">
        <v>223</v>
      </c>
      <c r="O59" s="130" t="s">
        <v>81</v>
      </c>
      <c r="P59" s="188" t="s">
        <v>81</v>
      </c>
    </row>
    <row r="60" spans="1:16" ht="12.75">
      <c r="A60" s="2" t="s">
        <v>103</v>
      </c>
      <c r="B60" s="52"/>
      <c r="C60" s="87" t="s">
        <v>81</v>
      </c>
      <c r="D60" s="87">
        <v>0.949</v>
      </c>
      <c r="E60" s="87">
        <v>0.752</v>
      </c>
      <c r="F60" s="87">
        <v>0.713</v>
      </c>
      <c r="G60" s="130">
        <v>0.8108510222976067</v>
      </c>
      <c r="H60" s="130">
        <v>0.8842209445294528</v>
      </c>
      <c r="I60" s="130" t="s">
        <v>81</v>
      </c>
      <c r="J60" s="130" t="s">
        <v>81</v>
      </c>
      <c r="K60" s="130" t="s">
        <v>81</v>
      </c>
      <c r="L60" s="130" t="s">
        <v>81</v>
      </c>
      <c r="M60" s="130" t="s">
        <v>81</v>
      </c>
      <c r="N60" s="130" t="s">
        <v>81</v>
      </c>
      <c r="O60" s="130" t="s">
        <v>81</v>
      </c>
      <c r="P60" s="188" t="s">
        <v>81</v>
      </c>
    </row>
    <row r="61" spans="1:16" ht="15">
      <c r="A61" s="2" t="s">
        <v>104</v>
      </c>
      <c r="B61" s="52"/>
      <c r="C61" s="87" t="s">
        <v>81</v>
      </c>
      <c r="D61" s="87" t="s">
        <v>81</v>
      </c>
      <c r="E61" s="87" t="s">
        <v>81</v>
      </c>
      <c r="F61" s="87">
        <v>1</v>
      </c>
      <c r="G61" s="130">
        <v>0.9999996185918909</v>
      </c>
      <c r="H61" s="130">
        <v>1</v>
      </c>
      <c r="I61" s="130">
        <v>1</v>
      </c>
      <c r="J61" s="130">
        <v>1</v>
      </c>
      <c r="K61" s="130" t="s">
        <v>169</v>
      </c>
      <c r="L61" s="130">
        <v>0.95</v>
      </c>
      <c r="M61" s="130">
        <v>0.95</v>
      </c>
      <c r="N61" s="130" t="s">
        <v>224</v>
      </c>
      <c r="O61" s="130" t="s">
        <v>278</v>
      </c>
      <c r="P61" s="198" t="s">
        <v>314</v>
      </c>
    </row>
    <row r="62" spans="1:16" ht="15">
      <c r="A62" s="2" t="s">
        <v>105</v>
      </c>
      <c r="B62" s="52"/>
      <c r="C62" s="87">
        <v>1</v>
      </c>
      <c r="D62" s="87">
        <v>0.999</v>
      </c>
      <c r="E62" s="87">
        <v>1</v>
      </c>
      <c r="F62" s="87">
        <v>0.94</v>
      </c>
      <c r="G62" s="130">
        <v>0.9800679581676105</v>
      </c>
      <c r="H62" s="130">
        <v>0.9967521584644969</v>
      </c>
      <c r="I62" s="130">
        <v>0.9642932321566297</v>
      </c>
      <c r="J62" s="130">
        <v>0.94</v>
      </c>
      <c r="K62" s="130">
        <v>0.89</v>
      </c>
      <c r="L62" s="130">
        <v>0.89</v>
      </c>
      <c r="M62" s="130">
        <v>0.8</v>
      </c>
      <c r="N62" s="130" t="s">
        <v>225</v>
      </c>
      <c r="O62" s="130" t="s">
        <v>277</v>
      </c>
      <c r="P62" s="198" t="s">
        <v>317</v>
      </c>
    </row>
    <row r="63" spans="1:16" ht="12.75">
      <c r="A63" s="2" t="s">
        <v>300</v>
      </c>
      <c r="B63" s="52"/>
      <c r="C63" s="87" t="s">
        <v>81</v>
      </c>
      <c r="D63" s="87">
        <v>1</v>
      </c>
      <c r="E63" s="87">
        <v>1</v>
      </c>
      <c r="F63" s="87">
        <v>1</v>
      </c>
      <c r="G63" s="130">
        <v>1</v>
      </c>
      <c r="H63" s="130">
        <v>1</v>
      </c>
      <c r="I63" s="130">
        <v>1</v>
      </c>
      <c r="J63" s="130">
        <v>1</v>
      </c>
      <c r="K63" s="130">
        <v>1</v>
      </c>
      <c r="L63" s="130">
        <v>1</v>
      </c>
      <c r="M63" s="130">
        <v>1</v>
      </c>
      <c r="N63" s="130">
        <v>1</v>
      </c>
      <c r="O63" s="130">
        <v>1</v>
      </c>
      <c r="P63" s="198">
        <v>1</v>
      </c>
    </row>
    <row r="64" spans="1:16" ht="15">
      <c r="A64" s="2" t="s">
        <v>178</v>
      </c>
      <c r="B64" s="52"/>
      <c r="C64" s="130" t="s">
        <v>81</v>
      </c>
      <c r="D64" s="130" t="s">
        <v>81</v>
      </c>
      <c r="E64" s="130" t="s">
        <v>81</v>
      </c>
      <c r="F64" s="130" t="s">
        <v>81</v>
      </c>
      <c r="G64" s="130" t="s">
        <v>81</v>
      </c>
      <c r="H64" s="130" t="s">
        <v>81</v>
      </c>
      <c r="I64" s="130" t="s">
        <v>81</v>
      </c>
      <c r="J64" s="130" t="s">
        <v>81</v>
      </c>
      <c r="K64" s="130" t="s">
        <v>81</v>
      </c>
      <c r="L64" s="130">
        <v>0.98</v>
      </c>
      <c r="M64" s="130">
        <v>1</v>
      </c>
      <c r="N64" s="130">
        <v>1</v>
      </c>
      <c r="O64" s="130">
        <v>0.95</v>
      </c>
      <c r="P64" s="198" t="s">
        <v>315</v>
      </c>
    </row>
    <row r="65" spans="1:16" ht="12.75">
      <c r="A65" s="2" t="s">
        <v>136</v>
      </c>
      <c r="B65" s="52"/>
      <c r="C65" s="87" t="s">
        <v>81</v>
      </c>
      <c r="D65" s="87">
        <v>1</v>
      </c>
      <c r="E65" s="87">
        <v>0.953</v>
      </c>
      <c r="F65" s="87">
        <v>0.622</v>
      </c>
      <c r="G65" s="130">
        <v>0.25626518845597934</v>
      </c>
      <c r="H65" s="130" t="s">
        <v>81</v>
      </c>
      <c r="I65" s="130" t="s">
        <v>81</v>
      </c>
      <c r="J65" s="130" t="s">
        <v>81</v>
      </c>
      <c r="K65" s="130" t="s">
        <v>81</v>
      </c>
      <c r="L65" s="130" t="s">
        <v>81</v>
      </c>
      <c r="M65" s="130" t="s">
        <v>81</v>
      </c>
      <c r="N65" s="130" t="s">
        <v>81</v>
      </c>
      <c r="O65" s="130" t="s">
        <v>81</v>
      </c>
      <c r="P65" s="188" t="s">
        <v>81</v>
      </c>
    </row>
    <row r="66" spans="1:16" ht="12.75">
      <c r="A66" s="2" t="s">
        <v>107</v>
      </c>
      <c r="B66" s="52"/>
      <c r="C66" s="87" t="s">
        <v>81</v>
      </c>
      <c r="D66" s="87">
        <v>0.947</v>
      </c>
      <c r="E66" s="87">
        <v>0.948</v>
      </c>
      <c r="F66" s="87">
        <v>0.921</v>
      </c>
      <c r="G66" s="130">
        <v>0.8941936854191347</v>
      </c>
      <c r="H66" s="130">
        <v>0.8941936854191348</v>
      </c>
      <c r="I66" s="130">
        <v>0.6628142252230618</v>
      </c>
      <c r="J66" s="130" t="s">
        <v>81</v>
      </c>
      <c r="K66" s="130" t="s">
        <v>81</v>
      </c>
      <c r="L66" s="130" t="s">
        <v>81</v>
      </c>
      <c r="M66" s="130" t="s">
        <v>81</v>
      </c>
      <c r="N66" s="130" t="s">
        <v>81</v>
      </c>
      <c r="O66" s="130" t="s">
        <v>81</v>
      </c>
      <c r="P66" s="188" t="s">
        <v>81</v>
      </c>
    </row>
    <row r="67" spans="1:16" ht="12.75">
      <c r="A67" s="2" t="s">
        <v>108</v>
      </c>
      <c r="B67" s="52"/>
      <c r="C67" s="87" t="s">
        <v>81</v>
      </c>
      <c r="D67" s="87">
        <v>1</v>
      </c>
      <c r="E67" s="87">
        <v>1</v>
      </c>
      <c r="F67" s="87">
        <v>1</v>
      </c>
      <c r="G67" s="130">
        <v>1</v>
      </c>
      <c r="H67" s="130">
        <v>1</v>
      </c>
      <c r="I67" s="130">
        <v>0.9999999999999999</v>
      </c>
      <c r="J67" s="130" t="s">
        <v>81</v>
      </c>
      <c r="K67" s="130" t="s">
        <v>81</v>
      </c>
      <c r="L67" s="130" t="s">
        <v>81</v>
      </c>
      <c r="M67" s="130" t="s">
        <v>81</v>
      </c>
      <c r="N67" s="130" t="s">
        <v>81</v>
      </c>
      <c r="O67" s="130" t="s">
        <v>81</v>
      </c>
      <c r="P67" s="188" t="s">
        <v>81</v>
      </c>
    </row>
    <row r="68" spans="1:16" ht="12.75">
      <c r="A68" s="2" t="s">
        <v>109</v>
      </c>
      <c r="B68" s="52"/>
      <c r="C68" s="87" t="s">
        <v>81</v>
      </c>
      <c r="D68" s="87">
        <v>1</v>
      </c>
      <c r="E68" s="87">
        <v>1</v>
      </c>
      <c r="F68" s="87">
        <v>1</v>
      </c>
      <c r="G68" s="130">
        <v>1</v>
      </c>
      <c r="H68" s="130">
        <v>1</v>
      </c>
      <c r="I68" s="130">
        <v>1</v>
      </c>
      <c r="J68" s="130" t="s">
        <v>81</v>
      </c>
      <c r="K68" s="130" t="s">
        <v>81</v>
      </c>
      <c r="L68" s="130" t="s">
        <v>81</v>
      </c>
      <c r="M68" s="130" t="s">
        <v>81</v>
      </c>
      <c r="N68" s="130" t="s">
        <v>81</v>
      </c>
      <c r="O68" s="130" t="s">
        <v>81</v>
      </c>
      <c r="P68" s="188" t="s">
        <v>81</v>
      </c>
    </row>
    <row r="69" spans="1:16" ht="15">
      <c r="A69" s="2" t="s">
        <v>247</v>
      </c>
      <c r="B69" s="52"/>
      <c r="C69" s="87"/>
      <c r="D69" s="87"/>
      <c r="E69" s="87"/>
      <c r="F69" s="87"/>
      <c r="G69" s="130"/>
      <c r="H69" s="130"/>
      <c r="I69" s="130"/>
      <c r="J69" s="130"/>
      <c r="K69" s="130"/>
      <c r="L69" s="130"/>
      <c r="N69" s="212"/>
      <c r="O69" s="218">
        <v>0.981</v>
      </c>
      <c r="P69" s="198" t="s">
        <v>322</v>
      </c>
    </row>
    <row r="70" spans="1:16" ht="15">
      <c r="A70" s="88" t="s">
        <v>42</v>
      </c>
      <c r="B70" s="88"/>
      <c r="C70" s="91">
        <v>1</v>
      </c>
      <c r="D70" s="91">
        <v>0.979</v>
      </c>
      <c r="E70" s="91">
        <v>0.898</v>
      </c>
      <c r="F70" s="91">
        <v>0.948</v>
      </c>
      <c r="G70" s="131">
        <v>0.9606095296729271</v>
      </c>
      <c r="H70" s="131">
        <v>0.9783793135072377</v>
      </c>
      <c r="I70" s="131">
        <v>0.9310180521512725</v>
      </c>
      <c r="J70" s="131">
        <v>0.984</v>
      </c>
      <c r="K70" s="131">
        <v>0.974</v>
      </c>
      <c r="L70" s="131">
        <v>0.95</v>
      </c>
      <c r="M70" s="131">
        <v>0.93</v>
      </c>
      <c r="N70" s="131" t="s">
        <v>230</v>
      </c>
      <c r="O70" s="131" t="s">
        <v>283</v>
      </c>
      <c r="P70" s="240">
        <v>0.949</v>
      </c>
    </row>
    <row r="71" spans="1:16" ht="15">
      <c r="A71" s="52" t="s">
        <v>43</v>
      </c>
      <c r="B71" s="52"/>
      <c r="C71" s="87">
        <v>1</v>
      </c>
      <c r="D71" s="87">
        <v>0.999</v>
      </c>
      <c r="E71" s="87">
        <v>1</v>
      </c>
      <c r="F71" s="87">
        <v>0.963</v>
      </c>
      <c r="G71" s="130">
        <v>0.9875988342584998</v>
      </c>
      <c r="H71" s="130">
        <v>0.9979790523567181</v>
      </c>
      <c r="I71" s="130">
        <v>0.9838571752793275</v>
      </c>
      <c r="J71" s="130">
        <v>0.971</v>
      </c>
      <c r="K71" s="130">
        <v>0.949</v>
      </c>
      <c r="L71" s="130">
        <v>0.959</v>
      </c>
      <c r="M71" s="130">
        <v>0.94</v>
      </c>
      <c r="N71" s="130" t="s">
        <v>231</v>
      </c>
      <c r="O71" s="130" t="s">
        <v>282</v>
      </c>
      <c r="P71" s="198">
        <v>0.945</v>
      </c>
    </row>
    <row r="72" spans="1:16" ht="12.75">
      <c r="A72" s="52" t="s">
        <v>44</v>
      </c>
      <c r="B72" s="52"/>
      <c r="C72" s="87" t="s">
        <v>81</v>
      </c>
      <c r="D72" s="87">
        <v>0.986</v>
      </c>
      <c r="E72" s="87">
        <v>0.959</v>
      </c>
      <c r="F72" s="87">
        <v>0.767</v>
      </c>
      <c r="G72" s="130">
        <v>0.5553440783904551</v>
      </c>
      <c r="H72" s="130">
        <v>0.9355937787316585</v>
      </c>
      <c r="I72" s="130">
        <v>0.7948253274725744</v>
      </c>
      <c r="J72" s="130" t="s">
        <v>81</v>
      </c>
      <c r="K72" s="130" t="s">
        <v>81</v>
      </c>
      <c r="L72" s="130" t="s">
        <v>81</v>
      </c>
      <c r="M72" s="130" t="s">
        <v>81</v>
      </c>
      <c r="N72" s="130" t="s">
        <v>81</v>
      </c>
      <c r="O72" s="130" t="s">
        <v>81</v>
      </c>
      <c r="P72" s="198" t="s">
        <v>318</v>
      </c>
    </row>
    <row r="73" spans="1:16" ht="15">
      <c r="A73" s="52" t="s">
        <v>280</v>
      </c>
      <c r="B73" s="52"/>
      <c r="C73" s="87"/>
      <c r="D73" s="87"/>
      <c r="E73" s="87"/>
      <c r="F73" s="87"/>
      <c r="G73" s="130"/>
      <c r="H73" s="130"/>
      <c r="I73" s="130"/>
      <c r="J73" s="130"/>
      <c r="K73" s="130"/>
      <c r="L73" s="130"/>
      <c r="M73" s="130"/>
      <c r="N73" s="130"/>
      <c r="O73" s="130" t="s">
        <v>281</v>
      </c>
      <c r="P73" s="198">
        <v>0.974</v>
      </c>
    </row>
    <row r="74" spans="1:16" ht="15.75" thickBot="1">
      <c r="A74" s="92" t="s">
        <v>29</v>
      </c>
      <c r="B74" s="92"/>
      <c r="C74" s="95">
        <v>1</v>
      </c>
      <c r="D74" s="95">
        <v>0.987</v>
      </c>
      <c r="E74" s="95">
        <v>0.946</v>
      </c>
      <c r="F74" s="95">
        <v>0.925</v>
      </c>
      <c r="G74" s="132">
        <v>0.9076520769953529</v>
      </c>
      <c r="H74" s="132">
        <v>0.9797948639702854</v>
      </c>
      <c r="I74" s="132">
        <v>0.9381490560380028</v>
      </c>
      <c r="J74" s="132">
        <v>0.979</v>
      </c>
      <c r="K74" s="132">
        <v>0.965</v>
      </c>
      <c r="L74" s="132">
        <v>0.954</v>
      </c>
      <c r="M74" s="132">
        <v>0.93</v>
      </c>
      <c r="N74" s="132" t="s">
        <v>232</v>
      </c>
      <c r="O74" s="132" t="s">
        <v>284</v>
      </c>
      <c r="P74" s="217" t="s">
        <v>319</v>
      </c>
    </row>
    <row r="75" ht="13.5" thickTop="1">
      <c r="O75" s="19"/>
    </row>
    <row r="76" ht="12.75">
      <c r="O76" s="19"/>
    </row>
    <row r="77" spans="1:14" ht="27" customHeight="1">
      <c r="A77" s="163">
        <v>1</v>
      </c>
      <c r="B77" s="266" t="s">
        <v>149</v>
      </c>
      <c r="C77" s="266"/>
      <c r="D77" s="266"/>
      <c r="E77" s="266"/>
      <c r="F77" s="266"/>
      <c r="G77" s="266"/>
      <c r="H77" s="266"/>
      <c r="I77" s="266"/>
      <c r="J77" s="266"/>
      <c r="K77" s="266"/>
      <c r="L77" s="266"/>
      <c r="M77" s="266"/>
      <c r="N77" s="266"/>
    </row>
    <row r="78" spans="1:2" ht="12.75">
      <c r="A78" s="38">
        <v>2</v>
      </c>
      <c r="B78" s="36" t="s">
        <v>147</v>
      </c>
    </row>
    <row r="79" spans="1:2" ht="15" customHeight="1">
      <c r="A79" s="38">
        <v>3</v>
      </c>
      <c r="B79" s="195" t="s">
        <v>19</v>
      </c>
    </row>
    <row r="80" spans="1:16" s="162" customFormat="1" ht="38.25" customHeight="1">
      <c r="A80" s="161">
        <v>4</v>
      </c>
      <c r="B80" s="266" t="s">
        <v>148</v>
      </c>
      <c r="C80" s="266"/>
      <c r="D80" s="266"/>
      <c r="E80" s="266"/>
      <c r="F80" s="266"/>
      <c r="G80" s="266"/>
      <c r="H80" s="266"/>
      <c r="I80" s="266"/>
      <c r="J80" s="266"/>
      <c r="K80" s="266"/>
      <c r="L80" s="266"/>
      <c r="M80" s="266"/>
      <c r="N80" s="266"/>
      <c r="P80" s="233"/>
    </row>
    <row r="81" spans="1:11" ht="12.75" customHeight="1">
      <c r="A81" s="6">
        <v>5</v>
      </c>
      <c r="B81" s="36" t="s">
        <v>155</v>
      </c>
      <c r="C81" s="139"/>
      <c r="D81" s="139"/>
      <c r="E81" s="139"/>
      <c r="F81" s="139"/>
      <c r="G81" s="139"/>
      <c r="H81" s="139"/>
      <c r="I81" s="139"/>
      <c r="J81" s="139"/>
      <c r="K81" s="139"/>
    </row>
    <row r="82" spans="1:11" ht="12.75" customHeight="1">
      <c r="A82" s="6">
        <v>6</v>
      </c>
      <c r="B82" s="36" t="s">
        <v>166</v>
      </c>
      <c r="C82" s="139"/>
      <c r="D82" s="139"/>
      <c r="E82" s="139"/>
      <c r="F82" s="139"/>
      <c r="G82" s="139"/>
      <c r="H82" s="139"/>
      <c r="I82" s="139"/>
      <c r="J82" s="139"/>
      <c r="K82" s="139"/>
    </row>
    <row r="83" spans="1:2" ht="12.75">
      <c r="A83" s="6">
        <v>7</v>
      </c>
      <c r="B83" s="36" t="s">
        <v>167</v>
      </c>
    </row>
    <row r="84" spans="1:2" ht="12.75">
      <c r="A84" s="6">
        <v>8</v>
      </c>
      <c r="B84" s="36" t="s">
        <v>180</v>
      </c>
    </row>
    <row r="85" spans="1:13" ht="33.75" customHeight="1">
      <c r="A85" s="6">
        <v>9</v>
      </c>
      <c r="B85" s="267" t="s">
        <v>226</v>
      </c>
      <c r="C85" s="267"/>
      <c r="D85" s="267"/>
      <c r="E85" s="267"/>
      <c r="F85" s="267"/>
      <c r="G85" s="267"/>
      <c r="H85" s="267"/>
      <c r="I85" s="267"/>
      <c r="J85" s="267"/>
      <c r="K85" s="267"/>
      <c r="L85" s="267"/>
      <c r="M85" s="267"/>
    </row>
    <row r="86" spans="1:13" ht="14.25" customHeight="1">
      <c r="A86" s="162">
        <v>10</v>
      </c>
      <c r="B86" s="266" t="s">
        <v>229</v>
      </c>
      <c r="C86" s="266"/>
      <c r="D86" s="266"/>
      <c r="E86" s="266"/>
      <c r="F86" s="266"/>
      <c r="G86" s="266"/>
      <c r="H86" s="266"/>
      <c r="I86" s="266"/>
      <c r="J86" s="266"/>
      <c r="K86" s="266"/>
      <c r="L86" s="266"/>
      <c r="M86" s="266"/>
    </row>
    <row r="87" spans="1:14" ht="33.75" customHeight="1">
      <c r="A87" s="162">
        <v>11</v>
      </c>
      <c r="B87" s="268" t="s">
        <v>227</v>
      </c>
      <c r="C87" s="268"/>
      <c r="D87" s="268"/>
      <c r="E87" s="268"/>
      <c r="F87" s="268"/>
      <c r="G87" s="268"/>
      <c r="H87" s="268"/>
      <c r="I87" s="268"/>
      <c r="J87" s="268"/>
      <c r="K87" s="268"/>
      <c r="L87" s="268"/>
      <c r="M87" s="268"/>
      <c r="N87" s="268"/>
    </row>
    <row r="88" spans="1:14" ht="33.75" customHeight="1">
      <c r="A88" s="162">
        <v>12</v>
      </c>
      <c r="B88" s="268" t="s">
        <v>228</v>
      </c>
      <c r="C88" s="268"/>
      <c r="D88" s="268"/>
      <c r="E88" s="268"/>
      <c r="F88" s="268"/>
      <c r="G88" s="268"/>
      <c r="H88" s="268"/>
      <c r="I88" s="268"/>
      <c r="J88" s="268"/>
      <c r="K88" s="268"/>
      <c r="L88" s="268"/>
      <c r="M88" s="268"/>
      <c r="N88" s="268"/>
    </row>
    <row r="89" spans="1:9" ht="33.75" customHeight="1">
      <c r="A89" s="39">
        <v>13</v>
      </c>
      <c r="B89" s="39" t="s">
        <v>313</v>
      </c>
      <c r="C89" s="6"/>
      <c r="D89" s="6"/>
      <c r="E89" s="6"/>
      <c r="F89" s="6"/>
      <c r="G89" s="6"/>
      <c r="I89" s="6"/>
    </row>
    <row r="90" spans="1:16" ht="12.75">
      <c r="A90" s="162">
        <v>14</v>
      </c>
      <c r="B90" s="39" t="s">
        <v>323</v>
      </c>
      <c r="C90" s="39"/>
      <c r="D90" s="39"/>
      <c r="E90" s="39"/>
      <c r="F90" s="39"/>
      <c r="G90" s="39"/>
      <c r="H90" s="39"/>
      <c r="I90" s="39"/>
      <c r="J90" s="39"/>
      <c r="K90" s="39"/>
      <c r="L90" s="39"/>
      <c r="M90" s="39"/>
      <c r="N90" s="39"/>
      <c r="O90" s="39"/>
      <c r="P90" s="39"/>
    </row>
  </sheetData>
  <sheetProtection/>
  <mergeCells count="6">
    <mergeCell ref="B85:M85"/>
    <mergeCell ref="B77:N77"/>
    <mergeCell ref="B80:N80"/>
    <mergeCell ref="B87:N87"/>
    <mergeCell ref="B88:N88"/>
    <mergeCell ref="B86:M86"/>
  </mergeCells>
  <printOptions/>
  <pageMargins left="0.5" right="0.5" top="0.5" bottom="0.5" header="0.5" footer="0.5"/>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BF96"/>
  <sheetViews>
    <sheetView tabSelected="1" view="pageBreakPreview" zoomScale="96" zoomScaleNormal="91" zoomScaleSheetLayoutView="96" zoomScalePageLayoutView="0" workbookViewId="0" topLeftCell="A1">
      <pane xSplit="2" ySplit="5" topLeftCell="AY6" activePane="bottomRight" state="frozen"/>
      <selection pane="topLeft" activeCell="A3" sqref="A3:B3"/>
      <selection pane="topRight" activeCell="A3" sqref="A3:B3"/>
      <selection pane="bottomLeft" activeCell="A3" sqref="A3:B3"/>
      <selection pane="bottomRight" activeCell="B5" sqref="B5"/>
    </sheetView>
  </sheetViews>
  <sheetFormatPr defaultColWidth="10.57421875" defaultRowHeight="12.75" outlineLevelCol="1"/>
  <cols>
    <col min="1" max="1" width="3.421875" style="6" customWidth="1"/>
    <col min="2" max="2" width="84.140625" style="2" bestFit="1" customWidth="1"/>
    <col min="3" max="3" width="10.00390625" style="6" hidden="1" customWidth="1" outlineLevel="1"/>
    <col min="4" max="7" width="11.00390625" style="7" hidden="1" customWidth="1" outlineLevel="1"/>
    <col min="8" max="8" width="11.00390625" style="7" hidden="1" customWidth="1" outlineLevel="1" collapsed="1"/>
    <col min="9" max="10" width="11.00390625" style="7" hidden="1" customWidth="1" outlineLevel="1"/>
    <col min="11" max="11" width="11.00390625" style="6" customWidth="1" collapsed="1"/>
    <col min="12" max="19" width="11.00390625" style="6" customWidth="1"/>
    <col min="20" max="22" width="11.57421875" style="6" customWidth="1"/>
    <col min="23" max="30" width="10.57421875" style="6" customWidth="1"/>
    <col min="31" max="31" width="10.57421875" style="19" customWidth="1"/>
    <col min="32" max="51" width="10.57421875" style="6" customWidth="1"/>
    <col min="52" max="52" width="10.57421875" style="19" customWidth="1"/>
    <col min="53" max="53" width="10.57421875" style="6" customWidth="1"/>
    <col min="54" max="54" width="10.57421875" style="19" customWidth="1"/>
    <col min="55" max="55" width="10.57421875" style="6" customWidth="1"/>
    <col min="56" max="58" width="10.57421875" style="19" customWidth="1"/>
    <col min="59" max="59" width="10.57421875" style="0" customWidth="1"/>
    <col min="60" max="16384" width="10.57421875" style="6" customWidth="1"/>
  </cols>
  <sheetData>
    <row r="1" spans="1:46" ht="15.75">
      <c r="A1" s="22" t="s">
        <v>26</v>
      </c>
      <c r="B1" s="6"/>
      <c r="C1" s="14"/>
      <c r="D1" s="3"/>
      <c r="E1" s="3"/>
      <c r="F1" s="3"/>
      <c r="G1" s="3"/>
      <c r="H1" s="5"/>
      <c r="I1" s="5"/>
      <c r="J1" s="5"/>
      <c r="AS1" s="19"/>
      <c r="AT1" s="19"/>
    </row>
    <row r="2" spans="1:46" ht="15.75">
      <c r="A2" s="1" t="str">
        <f>Portfolio!$A$2</f>
        <v>PORTFOLIO INFORMATION AS AT 31 DECEMBER 2019</v>
      </c>
      <c r="B2" s="6"/>
      <c r="C2" s="14"/>
      <c r="D2" s="3"/>
      <c r="E2" s="3"/>
      <c r="F2" s="3"/>
      <c r="G2" s="3"/>
      <c r="H2" s="5"/>
      <c r="I2" s="5"/>
      <c r="J2" s="5"/>
      <c r="AQ2" s="63"/>
      <c r="AS2" s="19"/>
      <c r="AT2" s="19"/>
    </row>
    <row r="3" spans="1:46" ht="15.75">
      <c r="A3" s="14"/>
      <c r="B3" s="6"/>
      <c r="C3" s="14"/>
      <c r="D3" s="3"/>
      <c r="E3" s="3"/>
      <c r="F3" s="3"/>
      <c r="G3" s="3"/>
      <c r="H3" s="5"/>
      <c r="I3" s="5"/>
      <c r="J3" s="5"/>
      <c r="AS3" s="19"/>
      <c r="AT3" s="19"/>
    </row>
    <row r="4" spans="1:58" s="72" customFormat="1" ht="10.5">
      <c r="A4" s="69"/>
      <c r="C4" s="69"/>
      <c r="AE4" s="166"/>
      <c r="AS4" s="166"/>
      <c r="AT4" s="166"/>
      <c r="AZ4" s="166"/>
      <c r="BB4" s="166"/>
      <c r="BD4" s="166"/>
      <c r="BE4" s="166"/>
      <c r="BF4" s="166"/>
    </row>
    <row r="5" spans="1:58" ht="15">
      <c r="A5" s="12" t="s">
        <v>80</v>
      </c>
      <c r="B5" s="60"/>
      <c r="C5" s="12"/>
      <c r="D5" s="119" t="s">
        <v>38</v>
      </c>
      <c r="E5" s="119" t="s">
        <v>39</v>
      </c>
      <c r="F5" s="119" t="s">
        <v>67</v>
      </c>
      <c r="G5" s="119" t="s">
        <v>68</v>
      </c>
      <c r="H5" s="119" t="s">
        <v>69</v>
      </c>
      <c r="I5" s="119" t="s">
        <v>70</v>
      </c>
      <c r="J5" s="119" t="s">
        <v>71</v>
      </c>
      <c r="K5" s="119" t="s">
        <v>72</v>
      </c>
      <c r="L5" s="119" t="s">
        <v>4</v>
      </c>
      <c r="M5" s="119" t="s">
        <v>21</v>
      </c>
      <c r="N5" s="119" t="s">
        <v>20</v>
      </c>
      <c r="O5" s="119" t="s">
        <v>23</v>
      </c>
      <c r="P5" s="119" t="s">
        <v>24</v>
      </c>
      <c r="Q5" s="119" t="s">
        <v>25</v>
      </c>
      <c r="R5" s="119" t="s">
        <v>123</v>
      </c>
      <c r="S5" s="119" t="s">
        <v>124</v>
      </c>
      <c r="T5" s="119" t="s">
        <v>125</v>
      </c>
      <c r="U5" s="119" t="s">
        <v>126</v>
      </c>
      <c r="V5" s="119" t="s">
        <v>127</v>
      </c>
      <c r="W5" s="119" t="s">
        <v>129</v>
      </c>
      <c r="X5" s="119" t="s">
        <v>137</v>
      </c>
      <c r="Y5" s="119" t="s">
        <v>140</v>
      </c>
      <c r="Z5" s="119" t="s">
        <v>142</v>
      </c>
      <c r="AA5" s="119" t="s">
        <v>143</v>
      </c>
      <c r="AB5" s="119" t="s">
        <v>144</v>
      </c>
      <c r="AC5" s="119" t="s">
        <v>145</v>
      </c>
      <c r="AD5" s="119" t="s">
        <v>152</v>
      </c>
      <c r="AE5" s="119" t="s">
        <v>156</v>
      </c>
      <c r="AF5" s="170" t="s">
        <v>158</v>
      </c>
      <c r="AG5" s="170" t="s">
        <v>160</v>
      </c>
      <c r="AH5" s="170" t="s">
        <v>161</v>
      </c>
      <c r="AI5" s="170" t="s">
        <v>162</v>
      </c>
      <c r="AJ5" s="170" t="s">
        <v>163</v>
      </c>
      <c r="AK5" s="170" t="s">
        <v>170</v>
      </c>
      <c r="AL5" s="170" t="s">
        <v>171</v>
      </c>
      <c r="AM5" s="170" t="s">
        <v>172</v>
      </c>
      <c r="AN5" s="170" t="s">
        <v>173</v>
      </c>
      <c r="AO5" s="170" t="s">
        <v>181</v>
      </c>
      <c r="AP5" s="170" t="s">
        <v>182</v>
      </c>
      <c r="AQ5" s="170" t="s">
        <v>183</v>
      </c>
      <c r="AR5" s="170" t="s">
        <v>184</v>
      </c>
      <c r="AS5" s="190" t="s">
        <v>188</v>
      </c>
      <c r="AT5" s="190" t="s">
        <v>190</v>
      </c>
      <c r="AU5" s="190" t="s">
        <v>198</v>
      </c>
      <c r="AV5" s="190" t="s">
        <v>217</v>
      </c>
      <c r="AW5" s="190" t="s">
        <v>233</v>
      </c>
      <c r="AX5" s="190" t="s">
        <v>241</v>
      </c>
      <c r="AY5" s="190" t="s">
        <v>248</v>
      </c>
      <c r="AZ5" s="190" t="s">
        <v>260</v>
      </c>
      <c r="BA5" s="190" t="s">
        <v>271</v>
      </c>
      <c r="BB5" s="190" t="s">
        <v>287</v>
      </c>
      <c r="BC5" s="190" t="s">
        <v>295</v>
      </c>
      <c r="BD5" s="190" t="s">
        <v>301</v>
      </c>
      <c r="BE5" s="170" t="s">
        <v>307</v>
      </c>
      <c r="BF5" s="190" t="s">
        <v>338</v>
      </c>
    </row>
    <row r="6" spans="1:57" ht="12.75">
      <c r="A6" s="13"/>
      <c r="B6" s="6"/>
      <c r="C6" s="13"/>
      <c r="D6" s="61"/>
      <c r="E6" s="61"/>
      <c r="F6" s="61"/>
      <c r="G6" s="61"/>
      <c r="H6" s="61"/>
      <c r="I6" s="61"/>
      <c r="J6" s="61"/>
      <c r="K6" s="61"/>
      <c r="L6" s="61"/>
      <c r="AS6" s="19"/>
      <c r="AT6" s="19"/>
      <c r="BE6" s="6"/>
    </row>
    <row r="7" spans="1:57" ht="12.75">
      <c r="A7" s="16" t="s">
        <v>1</v>
      </c>
      <c r="C7" s="16"/>
      <c r="D7" s="17">
        <v>545</v>
      </c>
      <c r="E7" s="17"/>
      <c r="F7" s="17"/>
      <c r="G7" s="17"/>
      <c r="H7" s="17"/>
      <c r="I7" s="17"/>
      <c r="J7" s="17"/>
      <c r="K7" s="17"/>
      <c r="L7" s="17"/>
      <c r="M7" s="17"/>
      <c r="N7" s="17"/>
      <c r="O7" s="17"/>
      <c r="P7" s="17"/>
      <c r="R7" s="19"/>
      <c r="S7" s="19"/>
      <c r="AS7" s="19"/>
      <c r="AT7" s="19"/>
      <c r="BE7" s="6"/>
    </row>
    <row r="8" spans="1:58" ht="12.75">
      <c r="A8" s="2" t="s">
        <v>357</v>
      </c>
      <c r="C8" s="16"/>
      <c r="D8" s="65">
        <v>119.7</v>
      </c>
      <c r="E8" s="65">
        <v>4388</v>
      </c>
      <c r="F8" s="65">
        <v>4388</v>
      </c>
      <c r="G8" s="65">
        <v>4387</v>
      </c>
      <c r="H8" s="65">
        <v>4388</v>
      </c>
      <c r="I8" s="65">
        <v>4388</v>
      </c>
      <c r="J8" s="65">
        <v>4388</v>
      </c>
      <c r="K8" s="65">
        <v>4387</v>
      </c>
      <c r="L8" s="65">
        <v>4388</v>
      </c>
      <c r="M8" s="65">
        <v>4388</v>
      </c>
      <c r="N8" s="65">
        <v>4387</v>
      </c>
      <c r="O8" s="65">
        <v>4388</v>
      </c>
      <c r="P8" s="65">
        <v>4387</v>
      </c>
      <c r="Q8" s="65">
        <v>4388</v>
      </c>
      <c r="R8" s="65">
        <v>4387</v>
      </c>
      <c r="S8" s="65">
        <v>4388</v>
      </c>
      <c r="T8" s="58">
        <v>4388</v>
      </c>
      <c r="U8" s="58">
        <v>4387</v>
      </c>
      <c r="V8" s="58">
        <v>4387</v>
      </c>
      <c r="W8" s="58">
        <v>4388</v>
      </c>
      <c r="X8" s="66">
        <v>4388</v>
      </c>
      <c r="Y8" s="66">
        <v>4387</v>
      </c>
      <c r="Z8" s="151">
        <v>4387</v>
      </c>
      <c r="AA8" s="151">
        <v>4795</v>
      </c>
      <c r="AB8" s="151">
        <v>7209</v>
      </c>
      <c r="AC8" s="151">
        <v>5932</v>
      </c>
      <c r="AD8" s="151">
        <v>6543</v>
      </c>
      <c r="AE8" s="152">
        <v>6792</v>
      </c>
      <c r="AF8" s="152">
        <v>7304</v>
      </c>
      <c r="AG8" s="152">
        <v>7416</v>
      </c>
      <c r="AH8" s="152">
        <v>7448</v>
      </c>
      <c r="AI8" s="152">
        <v>7390</v>
      </c>
      <c r="AJ8" s="152">
        <v>7688</v>
      </c>
      <c r="AK8" s="152">
        <v>7878</v>
      </c>
      <c r="AL8" s="152">
        <v>7882</v>
      </c>
      <c r="AM8" s="152">
        <v>7844</v>
      </c>
      <c r="AN8" s="152">
        <v>7856</v>
      </c>
      <c r="AO8" s="152">
        <v>7858</v>
      </c>
      <c r="AP8" s="152">
        <v>7683</v>
      </c>
      <c r="AQ8" s="152">
        <v>7273</v>
      </c>
      <c r="AR8" s="152">
        <v>6953</v>
      </c>
      <c r="AS8" s="152">
        <v>6821</v>
      </c>
      <c r="AT8" s="66">
        <v>6839</v>
      </c>
      <c r="AU8" s="58">
        <v>6672</v>
      </c>
      <c r="AV8" s="58">
        <v>6460</v>
      </c>
      <c r="AW8" s="58">
        <v>6263</v>
      </c>
      <c r="AX8" s="58">
        <v>6137</v>
      </c>
      <c r="AY8" s="58">
        <v>5470</v>
      </c>
      <c r="AZ8" s="66">
        <v>6013</v>
      </c>
      <c r="BA8" s="66">
        <v>5679</v>
      </c>
      <c r="BB8" s="152">
        <v>6044</v>
      </c>
      <c r="BC8" s="152">
        <v>6274</v>
      </c>
      <c r="BD8" s="152">
        <v>6562</v>
      </c>
      <c r="BE8" s="151">
        <v>6837</v>
      </c>
      <c r="BF8" s="152">
        <v>8053</v>
      </c>
    </row>
    <row r="9" spans="1:58" ht="12.75">
      <c r="A9" s="2" t="s">
        <v>102</v>
      </c>
      <c r="C9" s="16"/>
      <c r="D9" s="65">
        <v>283</v>
      </c>
      <c r="E9" s="65">
        <v>0</v>
      </c>
      <c r="F9" s="65">
        <v>0</v>
      </c>
      <c r="G9" s="65">
        <v>226</v>
      </c>
      <c r="H9" s="65">
        <v>911</v>
      </c>
      <c r="I9" s="65">
        <v>1487</v>
      </c>
      <c r="J9" s="65">
        <v>1759</v>
      </c>
      <c r="K9" s="65">
        <v>1752</v>
      </c>
      <c r="L9" s="65">
        <v>1760</v>
      </c>
      <c r="M9" s="65">
        <v>1732</v>
      </c>
      <c r="N9" s="65">
        <v>1845</v>
      </c>
      <c r="O9" s="65">
        <v>1815</v>
      </c>
      <c r="P9" s="65">
        <v>1766</v>
      </c>
      <c r="Q9" s="65">
        <v>1662</v>
      </c>
      <c r="R9" s="65">
        <v>1698</v>
      </c>
      <c r="S9" s="65">
        <v>1654</v>
      </c>
      <c r="T9" s="58">
        <v>1570</v>
      </c>
      <c r="U9" s="58">
        <v>1590</v>
      </c>
      <c r="V9" s="58">
        <v>1387</v>
      </c>
      <c r="W9" s="58">
        <v>1452</v>
      </c>
      <c r="X9" s="66">
        <v>1436</v>
      </c>
      <c r="Y9" s="66">
        <v>1390</v>
      </c>
      <c r="Z9" s="151">
        <v>1498</v>
      </c>
      <c r="AA9" s="151">
        <v>1456</v>
      </c>
      <c r="AB9" s="151">
        <v>1454</v>
      </c>
      <c r="AC9" s="151">
        <v>1223</v>
      </c>
      <c r="AD9" s="151">
        <v>1237</v>
      </c>
      <c r="AE9" s="152">
        <v>1309</v>
      </c>
      <c r="AF9" s="152">
        <v>1316</v>
      </c>
      <c r="AG9" s="152">
        <v>1397</v>
      </c>
      <c r="AH9" s="152">
        <v>1334</v>
      </c>
      <c r="AI9" s="152">
        <v>1279</v>
      </c>
      <c r="AJ9" s="152">
        <v>1353</v>
      </c>
      <c r="AK9" s="152">
        <v>1436</v>
      </c>
      <c r="AL9" s="152">
        <v>1509</v>
      </c>
      <c r="AM9" s="152">
        <v>1487</v>
      </c>
      <c r="AN9" s="152">
        <v>1508</v>
      </c>
      <c r="AO9" s="152">
        <v>1533</v>
      </c>
      <c r="AP9" s="152">
        <v>1460</v>
      </c>
      <c r="AQ9" s="152">
        <v>1462</v>
      </c>
      <c r="AR9" s="152">
        <v>1491</v>
      </c>
      <c r="AS9" s="152">
        <v>1474</v>
      </c>
      <c r="AT9" s="66">
        <v>1457</v>
      </c>
      <c r="AU9" s="58">
        <v>1488</v>
      </c>
      <c r="AV9" s="58">
        <v>1461</v>
      </c>
      <c r="AW9" s="58">
        <v>1470</v>
      </c>
      <c r="AX9" s="58">
        <v>1348</v>
      </c>
      <c r="AY9" s="58">
        <v>1295</v>
      </c>
      <c r="AZ9" s="66">
        <v>1285</v>
      </c>
      <c r="BA9" s="66">
        <v>865</v>
      </c>
      <c r="BB9" s="152">
        <v>0</v>
      </c>
      <c r="BC9" s="152">
        <v>0</v>
      </c>
      <c r="BD9" s="152">
        <v>0</v>
      </c>
      <c r="BE9" s="151">
        <v>0</v>
      </c>
      <c r="BF9" s="152">
        <v>0</v>
      </c>
    </row>
    <row r="10" spans="1:58" ht="12.75">
      <c r="A10" s="2" t="s">
        <v>103</v>
      </c>
      <c r="C10" s="16"/>
      <c r="D10" s="65">
        <v>351.2</v>
      </c>
      <c r="E10" s="65">
        <v>0</v>
      </c>
      <c r="F10" s="65">
        <v>0</v>
      </c>
      <c r="G10" s="65">
        <v>0</v>
      </c>
      <c r="H10" s="65">
        <v>0</v>
      </c>
      <c r="I10" s="65">
        <v>0</v>
      </c>
      <c r="J10" s="65">
        <v>3851</v>
      </c>
      <c r="K10" s="65">
        <v>5672</v>
      </c>
      <c r="L10" s="65">
        <v>5407</v>
      </c>
      <c r="M10" s="65">
        <v>5213</v>
      </c>
      <c r="N10" s="65">
        <v>5073</v>
      </c>
      <c r="O10" s="65">
        <v>4373</v>
      </c>
      <c r="P10" s="65">
        <v>3554</v>
      </c>
      <c r="Q10" s="65">
        <v>3684</v>
      </c>
      <c r="R10" s="65">
        <v>3625</v>
      </c>
      <c r="S10" s="65">
        <v>3757</v>
      </c>
      <c r="T10" s="58">
        <v>3746</v>
      </c>
      <c r="U10" s="58">
        <v>3826</v>
      </c>
      <c r="V10" s="58">
        <v>3884</v>
      </c>
      <c r="W10" s="58">
        <v>3993</v>
      </c>
      <c r="X10" s="66">
        <v>4085</v>
      </c>
      <c r="Y10" s="66">
        <v>4088</v>
      </c>
      <c r="Z10" s="151">
        <v>4036</v>
      </c>
      <c r="AA10" s="151">
        <v>4041</v>
      </c>
      <c r="AB10" s="151">
        <v>4039</v>
      </c>
      <c r="AC10" s="151">
        <v>4007</v>
      </c>
      <c r="AD10" s="151">
        <v>22</v>
      </c>
      <c r="AE10" s="152">
        <v>0</v>
      </c>
      <c r="AF10" s="152">
        <v>0</v>
      </c>
      <c r="AG10" s="152">
        <v>0</v>
      </c>
      <c r="AH10" s="152">
        <v>0</v>
      </c>
      <c r="AI10" s="152">
        <v>0</v>
      </c>
      <c r="AJ10" s="152">
        <v>0</v>
      </c>
      <c r="AK10" s="152">
        <v>0</v>
      </c>
      <c r="AL10" s="152">
        <v>0</v>
      </c>
      <c r="AM10" s="152">
        <v>0</v>
      </c>
      <c r="AN10" s="152">
        <v>0</v>
      </c>
      <c r="AO10" s="152">
        <v>0</v>
      </c>
      <c r="AP10" s="152">
        <v>0</v>
      </c>
      <c r="AQ10" s="152">
        <v>0</v>
      </c>
      <c r="AR10" s="152">
        <v>0</v>
      </c>
      <c r="AS10" s="152">
        <v>0</v>
      </c>
      <c r="AT10" s="66">
        <v>0</v>
      </c>
      <c r="AU10" s="58">
        <v>0</v>
      </c>
      <c r="AV10" s="58">
        <v>0</v>
      </c>
      <c r="AW10" s="58">
        <v>0</v>
      </c>
      <c r="AX10" s="58">
        <v>0</v>
      </c>
      <c r="AY10" s="58">
        <v>0</v>
      </c>
      <c r="AZ10" s="66">
        <v>0</v>
      </c>
      <c r="BA10" s="66"/>
      <c r="BB10" s="152">
        <v>0</v>
      </c>
      <c r="BC10" s="152">
        <v>0</v>
      </c>
      <c r="BD10" s="152">
        <v>0</v>
      </c>
      <c r="BE10" s="151">
        <v>0</v>
      </c>
      <c r="BF10" s="152">
        <v>0</v>
      </c>
    </row>
    <row r="11" spans="1:58" ht="12.75">
      <c r="A11" s="2" t="s">
        <v>104</v>
      </c>
      <c r="C11" s="16"/>
      <c r="D11" s="65">
        <v>360.18</v>
      </c>
      <c r="E11" s="65">
        <v>0</v>
      </c>
      <c r="F11" s="65">
        <v>0</v>
      </c>
      <c r="G11" s="65">
        <v>0</v>
      </c>
      <c r="H11" s="65">
        <v>0</v>
      </c>
      <c r="I11" s="65">
        <v>0</v>
      </c>
      <c r="J11" s="65">
        <v>0</v>
      </c>
      <c r="K11" s="65">
        <v>0</v>
      </c>
      <c r="L11" s="65">
        <v>0</v>
      </c>
      <c r="M11" s="65">
        <v>0</v>
      </c>
      <c r="N11" s="65">
        <v>0</v>
      </c>
      <c r="O11" s="65">
        <v>0</v>
      </c>
      <c r="P11" s="65">
        <v>0</v>
      </c>
      <c r="Q11" s="65">
        <v>2188</v>
      </c>
      <c r="R11" s="65">
        <v>5500</v>
      </c>
      <c r="S11" s="65">
        <v>5500</v>
      </c>
      <c r="T11" s="58">
        <v>5500</v>
      </c>
      <c r="U11" s="58">
        <v>5500</v>
      </c>
      <c r="V11" s="58">
        <v>5500</v>
      </c>
      <c r="W11" s="58">
        <v>5500</v>
      </c>
      <c r="X11" s="66">
        <v>5500</v>
      </c>
      <c r="Y11" s="66">
        <v>5500</v>
      </c>
      <c r="Z11" s="151">
        <v>5500</v>
      </c>
      <c r="AA11" s="151">
        <v>5500</v>
      </c>
      <c r="AB11" s="151">
        <v>5500</v>
      </c>
      <c r="AC11" s="151">
        <v>5500</v>
      </c>
      <c r="AD11" s="151">
        <v>5500</v>
      </c>
      <c r="AE11" s="152">
        <v>5500</v>
      </c>
      <c r="AF11" s="152">
        <v>5500</v>
      </c>
      <c r="AG11" s="152">
        <v>5500</v>
      </c>
      <c r="AH11" s="152">
        <v>5500</v>
      </c>
      <c r="AI11" s="152">
        <v>5500</v>
      </c>
      <c r="AJ11" s="152">
        <v>5500</v>
      </c>
      <c r="AK11" s="152">
        <v>8171</v>
      </c>
      <c r="AL11" s="152">
        <v>12498</v>
      </c>
      <c r="AM11" s="152">
        <v>12438</v>
      </c>
      <c r="AN11" s="152">
        <v>12503</v>
      </c>
      <c r="AO11" s="152">
        <v>13054</v>
      </c>
      <c r="AP11" s="152">
        <v>13302</v>
      </c>
      <c r="AQ11" s="152">
        <v>13152</v>
      </c>
      <c r="AR11" s="152">
        <v>13291</v>
      </c>
      <c r="AS11" s="152">
        <v>13314</v>
      </c>
      <c r="AT11" s="66">
        <v>13360</v>
      </c>
      <c r="AU11" s="58">
        <v>12907</v>
      </c>
      <c r="AV11" s="58">
        <v>12706</v>
      </c>
      <c r="AW11" s="58">
        <v>12878</v>
      </c>
      <c r="AX11" s="58">
        <v>11025</v>
      </c>
      <c r="AY11" s="58">
        <v>9593</v>
      </c>
      <c r="AZ11" s="66">
        <v>8946</v>
      </c>
      <c r="BA11" s="66">
        <v>9149</v>
      </c>
      <c r="BB11" s="152">
        <v>8761</v>
      </c>
      <c r="BC11" s="152">
        <v>7702</v>
      </c>
      <c r="BD11" s="152">
        <v>7696</v>
      </c>
      <c r="BE11" s="151">
        <v>9741</v>
      </c>
      <c r="BF11" s="152">
        <v>12304</v>
      </c>
    </row>
    <row r="12" spans="1:58" ht="12.75">
      <c r="A12" s="2" t="s">
        <v>105</v>
      </c>
      <c r="C12" s="16"/>
      <c r="D12" s="65">
        <v>112.752</v>
      </c>
      <c r="E12" s="65">
        <v>6305</v>
      </c>
      <c r="F12" s="65">
        <v>6714</v>
      </c>
      <c r="G12" s="65">
        <v>6800</v>
      </c>
      <c r="H12" s="65">
        <v>7053</v>
      </c>
      <c r="I12" s="65">
        <v>7830</v>
      </c>
      <c r="J12" s="65">
        <v>8928</v>
      </c>
      <c r="K12" s="65">
        <v>8663</v>
      </c>
      <c r="L12" s="65">
        <v>8145</v>
      </c>
      <c r="M12" s="65">
        <v>7975</v>
      </c>
      <c r="N12" s="65">
        <v>6116</v>
      </c>
      <c r="O12" s="65">
        <v>6836</v>
      </c>
      <c r="P12" s="65">
        <v>6520</v>
      </c>
      <c r="Q12" s="65">
        <v>6912</v>
      </c>
      <c r="R12" s="65">
        <v>7381</v>
      </c>
      <c r="S12" s="65">
        <v>7508</v>
      </c>
      <c r="T12" s="58">
        <v>7275</v>
      </c>
      <c r="U12" s="58">
        <v>7293</v>
      </c>
      <c r="V12" s="58">
        <v>7281</v>
      </c>
      <c r="W12" s="58">
        <v>8319</v>
      </c>
      <c r="X12" s="66">
        <v>9248</v>
      </c>
      <c r="Y12" s="66">
        <v>9105</v>
      </c>
      <c r="Z12" s="151">
        <v>9133</v>
      </c>
      <c r="AA12" s="151">
        <v>9111</v>
      </c>
      <c r="AB12" s="151">
        <v>9087</v>
      </c>
      <c r="AC12" s="151">
        <v>9386</v>
      </c>
      <c r="AD12" s="151">
        <v>9423</v>
      </c>
      <c r="AE12" s="152">
        <v>9553</v>
      </c>
      <c r="AF12" s="152">
        <v>9550</v>
      </c>
      <c r="AG12" s="152">
        <v>8479</v>
      </c>
      <c r="AH12" s="152">
        <v>8518</v>
      </c>
      <c r="AI12" s="152">
        <v>8556</v>
      </c>
      <c r="AJ12" s="152">
        <v>9036</v>
      </c>
      <c r="AK12" s="152">
        <v>8373</v>
      </c>
      <c r="AL12" s="152">
        <v>7816</v>
      </c>
      <c r="AM12" s="152">
        <v>7492</v>
      </c>
      <c r="AN12" s="152">
        <v>7376</v>
      </c>
      <c r="AO12" s="152">
        <v>7121</v>
      </c>
      <c r="AP12" s="152">
        <v>6852</v>
      </c>
      <c r="AQ12" s="152">
        <v>6610</v>
      </c>
      <c r="AR12" s="152">
        <v>6389</v>
      </c>
      <c r="AS12" s="152">
        <v>6704</v>
      </c>
      <c r="AT12" s="66">
        <v>6900</v>
      </c>
      <c r="AU12" s="58">
        <v>7849</v>
      </c>
      <c r="AV12" s="58">
        <v>6671</v>
      </c>
      <c r="AW12" s="58">
        <v>6475</v>
      </c>
      <c r="AX12" s="58">
        <v>5810</v>
      </c>
      <c r="AY12" s="58">
        <v>5796</v>
      </c>
      <c r="AZ12" s="66">
        <v>5662</v>
      </c>
      <c r="BA12" s="66">
        <v>6148</v>
      </c>
      <c r="BB12" s="152">
        <v>6093</v>
      </c>
      <c r="BC12" s="152">
        <v>6013</v>
      </c>
      <c r="BD12" s="152">
        <v>5847</v>
      </c>
      <c r="BE12" s="151">
        <v>6276</v>
      </c>
      <c r="BF12" s="152">
        <v>6458</v>
      </c>
    </row>
    <row r="13" spans="1:58" ht="12.75">
      <c r="A13" s="2" t="s">
        <v>106</v>
      </c>
      <c r="C13" s="16"/>
      <c r="D13" s="65">
        <v>48.8592</v>
      </c>
      <c r="E13" s="65">
        <v>0</v>
      </c>
      <c r="F13" s="65">
        <v>0</v>
      </c>
      <c r="G13" s="65">
        <v>0</v>
      </c>
      <c r="H13" s="65">
        <v>0</v>
      </c>
      <c r="I13" s="65">
        <v>3169</v>
      </c>
      <c r="J13" s="65">
        <v>2889</v>
      </c>
      <c r="K13" s="65">
        <v>3065</v>
      </c>
      <c r="L13" s="65">
        <v>3098</v>
      </c>
      <c r="M13" s="65">
        <v>3009</v>
      </c>
      <c r="N13" s="65">
        <v>2366</v>
      </c>
      <c r="O13" s="65">
        <v>2430</v>
      </c>
      <c r="P13" s="65">
        <v>2681</v>
      </c>
      <c r="Q13" s="65">
        <v>2879</v>
      </c>
      <c r="R13" s="65">
        <v>3043</v>
      </c>
      <c r="S13" s="65">
        <v>3058</v>
      </c>
      <c r="T13" s="58">
        <v>2941</v>
      </c>
      <c r="U13" s="58">
        <v>2972</v>
      </c>
      <c r="V13" s="58">
        <v>3105</v>
      </c>
      <c r="W13" s="58">
        <v>3124</v>
      </c>
      <c r="X13" s="66">
        <v>3252</v>
      </c>
      <c r="Y13" s="66">
        <v>3150</v>
      </c>
      <c r="Z13" s="151">
        <v>3241</v>
      </c>
      <c r="AA13" s="151">
        <v>3300</v>
      </c>
      <c r="AB13" s="151">
        <v>5998</v>
      </c>
      <c r="AC13" s="151">
        <v>7063</v>
      </c>
      <c r="AD13" s="151">
        <v>6445</v>
      </c>
      <c r="AE13" s="152">
        <v>6554</v>
      </c>
      <c r="AF13" s="152">
        <v>6315</v>
      </c>
      <c r="AG13" s="152">
        <v>6020</v>
      </c>
      <c r="AH13" s="152">
        <v>5969</v>
      </c>
      <c r="AI13" s="152">
        <v>5875</v>
      </c>
      <c r="AJ13" s="152">
        <v>6064</v>
      </c>
      <c r="AK13" s="152">
        <v>5970</v>
      </c>
      <c r="AL13" s="152">
        <v>5754</v>
      </c>
      <c r="AM13" s="152">
        <v>5553</v>
      </c>
      <c r="AN13" s="152">
        <v>5451</v>
      </c>
      <c r="AO13" s="152">
        <v>5284</v>
      </c>
      <c r="AP13" s="152">
        <v>5265</v>
      </c>
      <c r="AQ13" s="152">
        <v>5242</v>
      </c>
      <c r="AR13" s="152">
        <v>5232</v>
      </c>
      <c r="AS13" s="152">
        <v>5463</v>
      </c>
      <c r="AT13" s="66">
        <v>5552</v>
      </c>
      <c r="AU13" s="58">
        <v>5620</v>
      </c>
      <c r="AV13" s="58">
        <v>5440</v>
      </c>
      <c r="AW13" s="58">
        <v>5605</v>
      </c>
      <c r="AX13" s="58">
        <v>5411</v>
      </c>
      <c r="AY13" s="58">
        <v>5393</v>
      </c>
      <c r="AZ13" s="66">
        <v>5258</v>
      </c>
      <c r="BA13" s="66">
        <v>5209</v>
      </c>
      <c r="BB13" s="152">
        <v>5119</v>
      </c>
      <c r="BC13" s="152">
        <v>5036</v>
      </c>
      <c r="BD13" s="152">
        <v>4966</v>
      </c>
      <c r="BE13" s="151">
        <v>4896</v>
      </c>
      <c r="BF13" s="152">
        <v>4881</v>
      </c>
    </row>
    <row r="14" spans="1:58" ht="12.75">
      <c r="A14" s="2" t="s">
        <v>178</v>
      </c>
      <c r="C14" s="16"/>
      <c r="D14" s="65"/>
      <c r="E14" s="65"/>
      <c r="F14" s="65"/>
      <c r="G14" s="65"/>
      <c r="H14" s="65"/>
      <c r="I14" s="65"/>
      <c r="J14" s="65"/>
      <c r="K14" s="66">
        <v>0</v>
      </c>
      <c r="L14" s="66">
        <v>0</v>
      </c>
      <c r="M14" s="66">
        <v>0</v>
      </c>
      <c r="N14" s="66">
        <v>0</v>
      </c>
      <c r="O14" s="66">
        <v>0</v>
      </c>
      <c r="P14" s="66">
        <v>0</v>
      </c>
      <c r="Q14" s="66">
        <v>0</v>
      </c>
      <c r="R14" s="66">
        <v>0</v>
      </c>
      <c r="S14" s="66">
        <v>0</v>
      </c>
      <c r="T14" s="66">
        <v>0</v>
      </c>
      <c r="U14" s="66">
        <v>0</v>
      </c>
      <c r="V14" s="66">
        <v>0</v>
      </c>
      <c r="W14" s="66">
        <v>0</v>
      </c>
      <c r="X14" s="66">
        <v>0</v>
      </c>
      <c r="Y14" s="66">
        <v>0</v>
      </c>
      <c r="Z14" s="151">
        <v>0</v>
      </c>
      <c r="AA14" s="151">
        <v>0</v>
      </c>
      <c r="AB14" s="151">
        <v>0</v>
      </c>
      <c r="AC14" s="151">
        <v>0</v>
      </c>
      <c r="AD14" s="151">
        <v>0</v>
      </c>
      <c r="AE14" s="152">
        <v>0</v>
      </c>
      <c r="AF14" s="152">
        <v>0</v>
      </c>
      <c r="AG14" s="152">
        <v>0</v>
      </c>
      <c r="AH14" s="152">
        <v>0</v>
      </c>
      <c r="AI14" s="152">
        <v>0</v>
      </c>
      <c r="AJ14" s="152">
        <v>0</v>
      </c>
      <c r="AK14" s="152">
        <v>0</v>
      </c>
      <c r="AL14" s="152">
        <v>0</v>
      </c>
      <c r="AM14" s="152">
        <v>0</v>
      </c>
      <c r="AN14" s="152">
        <v>0</v>
      </c>
      <c r="AO14" s="152">
        <v>2370</v>
      </c>
      <c r="AP14" s="152">
        <v>5061</v>
      </c>
      <c r="AQ14" s="152">
        <v>5255</v>
      </c>
      <c r="AR14" s="152">
        <v>5194</v>
      </c>
      <c r="AS14" s="152">
        <v>5554</v>
      </c>
      <c r="AT14" s="66">
        <v>5571</v>
      </c>
      <c r="AU14" s="58">
        <v>5704</v>
      </c>
      <c r="AV14" s="58">
        <v>5588</v>
      </c>
      <c r="AW14" s="58">
        <v>5615</v>
      </c>
      <c r="AX14" s="58">
        <v>5590</v>
      </c>
      <c r="AY14" s="58">
        <v>5467</v>
      </c>
      <c r="AZ14" s="66">
        <v>5330</v>
      </c>
      <c r="BA14" s="66">
        <v>5427</v>
      </c>
      <c r="BB14" s="152">
        <v>5529</v>
      </c>
      <c r="BC14" s="152">
        <v>5377</v>
      </c>
      <c r="BD14" s="152">
        <v>5144</v>
      </c>
      <c r="BE14" s="151">
        <v>5147</v>
      </c>
      <c r="BF14" s="152">
        <v>6083</v>
      </c>
    </row>
    <row r="15" spans="1:58" ht="12.75">
      <c r="A15" s="2" t="s">
        <v>136</v>
      </c>
      <c r="C15" s="2"/>
      <c r="D15" s="65">
        <v>74.2284</v>
      </c>
      <c r="E15" s="65">
        <v>0</v>
      </c>
      <c r="F15" s="65">
        <v>0</v>
      </c>
      <c r="G15" s="65">
        <v>0</v>
      </c>
      <c r="H15" s="65">
        <v>0</v>
      </c>
      <c r="I15" s="65">
        <v>1099</v>
      </c>
      <c r="J15" s="65">
        <v>1914</v>
      </c>
      <c r="K15" s="65">
        <v>1958</v>
      </c>
      <c r="L15" s="65">
        <v>1910</v>
      </c>
      <c r="M15" s="65">
        <v>1832</v>
      </c>
      <c r="N15" s="65">
        <v>2178</v>
      </c>
      <c r="O15" s="65">
        <v>1127</v>
      </c>
      <c r="P15" s="65">
        <v>1046</v>
      </c>
      <c r="Q15" s="65">
        <v>1128</v>
      </c>
      <c r="R15" s="65">
        <v>1209</v>
      </c>
      <c r="S15" s="65">
        <v>1221</v>
      </c>
      <c r="T15" s="58">
        <v>1216</v>
      </c>
      <c r="U15" s="58">
        <v>937</v>
      </c>
      <c r="V15" s="58">
        <v>651</v>
      </c>
      <c r="W15" s="58">
        <v>152</v>
      </c>
      <c r="X15" s="66">
        <v>0</v>
      </c>
      <c r="Y15" s="66">
        <v>0</v>
      </c>
      <c r="Z15" s="151">
        <v>0</v>
      </c>
      <c r="AA15" s="151">
        <v>0</v>
      </c>
      <c r="AB15" s="151">
        <v>0</v>
      </c>
      <c r="AC15" s="151">
        <v>0</v>
      </c>
      <c r="AD15" s="151">
        <v>0</v>
      </c>
      <c r="AE15" s="152">
        <v>0</v>
      </c>
      <c r="AF15" s="152">
        <v>0</v>
      </c>
      <c r="AG15" s="152">
        <v>0</v>
      </c>
      <c r="AH15" s="152">
        <v>0</v>
      </c>
      <c r="AI15" s="152">
        <v>0</v>
      </c>
      <c r="AJ15" s="152">
        <v>0</v>
      </c>
      <c r="AK15" s="152">
        <v>0</v>
      </c>
      <c r="AL15" s="152">
        <v>0</v>
      </c>
      <c r="AM15" s="152">
        <v>0</v>
      </c>
      <c r="AN15" s="152">
        <v>0</v>
      </c>
      <c r="AO15" s="152">
        <v>0</v>
      </c>
      <c r="AP15" s="152">
        <v>0</v>
      </c>
      <c r="AQ15" s="152">
        <v>0</v>
      </c>
      <c r="AR15" s="152">
        <v>0</v>
      </c>
      <c r="AS15" s="152">
        <v>0</v>
      </c>
      <c r="AT15" s="66">
        <v>0</v>
      </c>
      <c r="AU15" s="58">
        <v>0</v>
      </c>
      <c r="AV15" s="58">
        <v>0</v>
      </c>
      <c r="AW15" s="58">
        <v>0</v>
      </c>
      <c r="AX15" s="58">
        <v>0</v>
      </c>
      <c r="AY15" s="58">
        <v>0</v>
      </c>
      <c r="AZ15" s="66">
        <v>0</v>
      </c>
      <c r="BA15" s="66">
        <v>0</v>
      </c>
      <c r="BB15" s="66">
        <v>0</v>
      </c>
      <c r="BC15" s="152">
        <v>0</v>
      </c>
      <c r="BD15" s="152">
        <v>0</v>
      </c>
      <c r="BE15" s="151">
        <v>0</v>
      </c>
      <c r="BF15" s="152">
        <v>0</v>
      </c>
    </row>
    <row r="16" spans="1:58" ht="12.75">
      <c r="A16" s="2" t="s">
        <v>108</v>
      </c>
      <c r="C16" s="2"/>
      <c r="D16" s="65">
        <v>22.3938</v>
      </c>
      <c r="E16" s="65">
        <v>0</v>
      </c>
      <c r="F16" s="65">
        <v>0</v>
      </c>
      <c r="G16" s="65">
        <v>0</v>
      </c>
      <c r="H16" s="65">
        <v>0</v>
      </c>
      <c r="I16" s="65">
        <v>21</v>
      </c>
      <c r="J16" s="65">
        <v>361</v>
      </c>
      <c r="K16" s="65">
        <v>371</v>
      </c>
      <c r="L16" s="65">
        <v>365</v>
      </c>
      <c r="M16" s="65">
        <v>377</v>
      </c>
      <c r="N16" s="65">
        <v>459</v>
      </c>
      <c r="O16" s="65">
        <v>463</v>
      </c>
      <c r="P16" s="65">
        <v>396</v>
      </c>
      <c r="Q16" s="65">
        <v>434</v>
      </c>
      <c r="R16" s="65">
        <v>436</v>
      </c>
      <c r="S16" s="65">
        <v>414</v>
      </c>
      <c r="T16" s="58">
        <v>418</v>
      </c>
      <c r="U16" s="58">
        <v>458</v>
      </c>
      <c r="V16" s="58">
        <v>438</v>
      </c>
      <c r="W16" s="58">
        <v>426</v>
      </c>
      <c r="X16" s="66">
        <v>413</v>
      </c>
      <c r="Y16" s="66">
        <v>433</v>
      </c>
      <c r="Z16" s="151">
        <v>457</v>
      </c>
      <c r="AA16" s="151">
        <v>429</v>
      </c>
      <c r="AB16" s="151">
        <v>422</v>
      </c>
      <c r="AC16" s="151">
        <v>439</v>
      </c>
      <c r="AD16" s="151">
        <v>120</v>
      </c>
      <c r="AE16" s="152">
        <v>0</v>
      </c>
      <c r="AF16" s="152">
        <v>0</v>
      </c>
      <c r="AG16" s="152">
        <v>0</v>
      </c>
      <c r="AH16" s="152">
        <v>0</v>
      </c>
      <c r="AI16" s="152">
        <v>0</v>
      </c>
      <c r="AJ16" s="152">
        <v>0</v>
      </c>
      <c r="AK16" s="152">
        <v>0</v>
      </c>
      <c r="AL16" s="152">
        <v>0</v>
      </c>
      <c r="AM16" s="152">
        <v>0</v>
      </c>
      <c r="AN16" s="152">
        <v>0</v>
      </c>
      <c r="AO16" s="152">
        <v>0</v>
      </c>
      <c r="AP16" s="152">
        <v>0</v>
      </c>
      <c r="AQ16" s="152">
        <v>0</v>
      </c>
      <c r="AR16" s="152">
        <v>0</v>
      </c>
      <c r="AS16" s="152">
        <v>0</v>
      </c>
      <c r="AT16" s="66">
        <v>0</v>
      </c>
      <c r="AU16" s="58">
        <v>0</v>
      </c>
      <c r="AV16" s="58">
        <v>0</v>
      </c>
      <c r="AW16" s="58">
        <v>0</v>
      </c>
      <c r="AX16" s="58">
        <v>0</v>
      </c>
      <c r="AY16" s="58">
        <v>0</v>
      </c>
      <c r="AZ16" s="66">
        <v>0</v>
      </c>
      <c r="BA16" s="66">
        <v>0</v>
      </c>
      <c r="BB16" s="66">
        <v>0</v>
      </c>
      <c r="BC16" s="152">
        <v>0</v>
      </c>
      <c r="BD16" s="152">
        <v>0</v>
      </c>
      <c r="BE16" s="151">
        <v>0</v>
      </c>
      <c r="BF16" s="152">
        <v>0</v>
      </c>
    </row>
    <row r="17" spans="1:58" ht="12.75">
      <c r="A17" s="2" t="s">
        <v>107</v>
      </c>
      <c r="C17" s="2"/>
      <c r="D17" s="65">
        <v>37.8972</v>
      </c>
      <c r="E17" s="65">
        <v>0</v>
      </c>
      <c r="F17" s="65">
        <v>0</v>
      </c>
      <c r="G17" s="65">
        <v>0</v>
      </c>
      <c r="H17" s="65">
        <v>0</v>
      </c>
      <c r="I17" s="65">
        <v>67</v>
      </c>
      <c r="J17" s="65">
        <v>1453</v>
      </c>
      <c r="K17" s="65">
        <v>1523</v>
      </c>
      <c r="L17" s="65">
        <v>1445</v>
      </c>
      <c r="M17" s="65">
        <v>1515</v>
      </c>
      <c r="N17" s="65">
        <v>1817</v>
      </c>
      <c r="O17" s="65">
        <v>1871</v>
      </c>
      <c r="P17" s="65">
        <v>1699</v>
      </c>
      <c r="Q17" s="65">
        <v>1770</v>
      </c>
      <c r="R17" s="65">
        <v>1735</v>
      </c>
      <c r="S17" s="65">
        <v>1638</v>
      </c>
      <c r="T17" s="58">
        <v>1545</v>
      </c>
      <c r="U17" s="58">
        <v>1678</v>
      </c>
      <c r="V17" s="58">
        <v>1699</v>
      </c>
      <c r="W17" s="58">
        <v>1634</v>
      </c>
      <c r="X17" s="66">
        <v>1617</v>
      </c>
      <c r="Y17" s="66">
        <v>1695</v>
      </c>
      <c r="Z17" s="151">
        <v>1723</v>
      </c>
      <c r="AA17" s="151">
        <v>1586</v>
      </c>
      <c r="AB17" s="151">
        <v>1388</v>
      </c>
      <c r="AC17" s="151">
        <v>1379</v>
      </c>
      <c r="AD17" s="151">
        <v>319</v>
      </c>
      <c r="AE17" s="152">
        <v>0</v>
      </c>
      <c r="AF17" s="152">
        <v>0</v>
      </c>
      <c r="AG17" s="152">
        <v>0</v>
      </c>
      <c r="AH17" s="152">
        <v>0</v>
      </c>
      <c r="AI17" s="152">
        <v>0</v>
      </c>
      <c r="AJ17" s="152">
        <v>0</v>
      </c>
      <c r="AK17" s="152">
        <v>0</v>
      </c>
      <c r="AL17" s="152">
        <v>0</v>
      </c>
      <c r="AM17" s="152">
        <v>0</v>
      </c>
      <c r="AN17" s="152">
        <v>0</v>
      </c>
      <c r="AO17" s="152">
        <v>0</v>
      </c>
      <c r="AP17" s="152">
        <v>0</v>
      </c>
      <c r="AQ17" s="152">
        <v>0</v>
      </c>
      <c r="AR17" s="152">
        <v>0</v>
      </c>
      <c r="AS17" s="152">
        <v>0</v>
      </c>
      <c r="AT17" s="66">
        <v>0</v>
      </c>
      <c r="AU17" s="58">
        <v>0</v>
      </c>
      <c r="AV17" s="58">
        <v>0</v>
      </c>
      <c r="AW17" s="58">
        <v>0</v>
      </c>
      <c r="AX17" s="58">
        <v>0</v>
      </c>
      <c r="AY17" s="58">
        <v>0</v>
      </c>
      <c r="AZ17" s="66">
        <v>0</v>
      </c>
      <c r="BA17" s="66">
        <v>0</v>
      </c>
      <c r="BB17" s="66">
        <v>0</v>
      </c>
      <c r="BC17" s="152">
        <v>0</v>
      </c>
      <c r="BD17" s="152">
        <v>0</v>
      </c>
      <c r="BE17" s="151">
        <v>0</v>
      </c>
      <c r="BF17" s="152">
        <v>0</v>
      </c>
    </row>
    <row r="18" spans="1:58" s="19" customFormat="1" ht="12.75">
      <c r="A18" s="2" t="s">
        <v>109</v>
      </c>
      <c r="B18" s="52"/>
      <c r="C18" s="52"/>
      <c r="D18" s="65">
        <v>29.878152</v>
      </c>
      <c r="E18" s="65">
        <v>0</v>
      </c>
      <c r="F18" s="65">
        <v>0</v>
      </c>
      <c r="G18" s="65">
        <v>0</v>
      </c>
      <c r="H18" s="65">
        <v>0</v>
      </c>
      <c r="I18" s="65">
        <v>32</v>
      </c>
      <c r="J18" s="65">
        <v>528</v>
      </c>
      <c r="K18" s="65">
        <v>553</v>
      </c>
      <c r="L18" s="65">
        <v>533</v>
      </c>
      <c r="M18" s="65">
        <v>535</v>
      </c>
      <c r="N18" s="65">
        <v>647</v>
      </c>
      <c r="O18" s="65">
        <v>659</v>
      </c>
      <c r="P18" s="65">
        <v>624</v>
      </c>
      <c r="Q18" s="65">
        <v>635</v>
      </c>
      <c r="R18" s="65">
        <v>635</v>
      </c>
      <c r="S18" s="65">
        <v>634</v>
      </c>
      <c r="T18" s="66">
        <v>623</v>
      </c>
      <c r="U18" s="66">
        <v>650</v>
      </c>
      <c r="V18" s="66">
        <v>649</v>
      </c>
      <c r="W18" s="66">
        <v>638</v>
      </c>
      <c r="X18" s="66">
        <v>625</v>
      </c>
      <c r="Y18" s="66">
        <v>648</v>
      </c>
      <c r="Z18" s="152">
        <v>686</v>
      </c>
      <c r="AA18" s="152">
        <v>656</v>
      </c>
      <c r="AB18" s="152">
        <v>648</v>
      </c>
      <c r="AC18" s="152">
        <v>652</v>
      </c>
      <c r="AD18" s="152">
        <v>83</v>
      </c>
      <c r="AE18" s="152">
        <v>0</v>
      </c>
      <c r="AF18" s="152">
        <v>0</v>
      </c>
      <c r="AG18" s="152">
        <v>0</v>
      </c>
      <c r="AH18" s="152">
        <v>0</v>
      </c>
      <c r="AI18" s="152">
        <v>0</v>
      </c>
      <c r="AJ18" s="152">
        <v>0</v>
      </c>
      <c r="AK18" s="152">
        <v>0</v>
      </c>
      <c r="AL18" s="152">
        <v>0</v>
      </c>
      <c r="AM18" s="152">
        <v>0</v>
      </c>
      <c r="AN18" s="152">
        <v>0</v>
      </c>
      <c r="AO18" s="152">
        <v>0</v>
      </c>
      <c r="AP18" s="152">
        <v>0</v>
      </c>
      <c r="AQ18" s="152">
        <v>0</v>
      </c>
      <c r="AR18" s="152">
        <v>0</v>
      </c>
      <c r="AS18" s="152">
        <v>0</v>
      </c>
      <c r="AT18" s="66">
        <v>0</v>
      </c>
      <c r="AU18" s="66">
        <v>0</v>
      </c>
      <c r="AV18" s="66">
        <v>0</v>
      </c>
      <c r="AW18" s="66">
        <v>0</v>
      </c>
      <c r="AX18" s="66">
        <v>0</v>
      </c>
      <c r="AY18" s="66">
        <v>0</v>
      </c>
      <c r="AZ18" s="66">
        <v>0</v>
      </c>
      <c r="BA18" s="66">
        <v>0</v>
      </c>
      <c r="BB18" s="66">
        <v>0</v>
      </c>
      <c r="BC18" s="152">
        <v>0</v>
      </c>
      <c r="BD18" s="152">
        <v>0</v>
      </c>
      <c r="BE18" s="151">
        <v>0</v>
      </c>
      <c r="BF18" s="152">
        <v>0</v>
      </c>
    </row>
    <row r="19" spans="1:58" s="19" customFormat="1" ht="12.75">
      <c r="A19" s="2" t="s">
        <v>31</v>
      </c>
      <c r="B19" s="52"/>
      <c r="C19" s="52"/>
      <c r="D19" s="65">
        <v>874</v>
      </c>
      <c r="E19" s="65">
        <v>657</v>
      </c>
      <c r="F19" s="65">
        <v>696</v>
      </c>
      <c r="G19" s="65">
        <v>838</v>
      </c>
      <c r="H19" s="65">
        <v>5146</v>
      </c>
      <c r="I19" s="65">
        <v>770</v>
      </c>
      <c r="J19" s="65">
        <v>564</v>
      </c>
      <c r="K19" s="65">
        <v>495</v>
      </c>
      <c r="L19" s="65">
        <v>573</v>
      </c>
      <c r="M19" s="65">
        <v>-573</v>
      </c>
      <c r="N19" s="65">
        <v>0</v>
      </c>
      <c r="O19" s="65">
        <v>0</v>
      </c>
      <c r="P19" s="65">
        <v>0</v>
      </c>
      <c r="Q19" s="65">
        <v>0</v>
      </c>
      <c r="R19" s="58">
        <v>0</v>
      </c>
      <c r="S19" s="58">
        <v>0</v>
      </c>
      <c r="T19" s="66">
        <v>0</v>
      </c>
      <c r="U19" s="66">
        <v>0</v>
      </c>
      <c r="V19" s="66">
        <v>0</v>
      </c>
      <c r="W19" s="66">
        <v>0</v>
      </c>
      <c r="X19" s="66">
        <v>0</v>
      </c>
      <c r="Y19" s="66">
        <v>0</v>
      </c>
      <c r="Z19" s="152">
        <v>0</v>
      </c>
      <c r="AA19" s="152">
        <v>0</v>
      </c>
      <c r="AB19" s="152">
        <v>0</v>
      </c>
      <c r="AC19" s="152">
        <v>0</v>
      </c>
      <c r="AD19" s="152">
        <v>0</v>
      </c>
      <c r="AE19" s="152">
        <v>0</v>
      </c>
      <c r="AF19" s="152">
        <v>0</v>
      </c>
      <c r="AG19" s="152">
        <v>0</v>
      </c>
      <c r="AH19" s="152">
        <v>0</v>
      </c>
      <c r="AI19" s="152">
        <v>0</v>
      </c>
      <c r="AJ19" s="152">
        <v>0</v>
      </c>
      <c r="AK19" s="152">
        <v>0</v>
      </c>
      <c r="AL19" s="152">
        <v>0</v>
      </c>
      <c r="AM19" s="152">
        <v>0</v>
      </c>
      <c r="AN19" s="152">
        <v>0</v>
      </c>
      <c r="AO19" s="152">
        <v>0</v>
      </c>
      <c r="AP19" s="152">
        <v>0</v>
      </c>
      <c r="AQ19" s="152">
        <v>0</v>
      </c>
      <c r="AR19" s="152">
        <v>0</v>
      </c>
      <c r="AS19" s="152">
        <v>0</v>
      </c>
      <c r="AT19" s="66">
        <v>0</v>
      </c>
      <c r="AU19" s="66">
        <v>0</v>
      </c>
      <c r="AV19" s="66">
        <v>0</v>
      </c>
      <c r="AW19" s="66">
        <v>0</v>
      </c>
      <c r="AX19" s="66">
        <v>0</v>
      </c>
      <c r="AY19" s="66">
        <v>0</v>
      </c>
      <c r="AZ19" s="66">
        <v>0</v>
      </c>
      <c r="BA19" s="66">
        <v>0</v>
      </c>
      <c r="BB19" s="66">
        <v>0</v>
      </c>
      <c r="BC19" s="151">
        <v>0</v>
      </c>
      <c r="BD19" s="151">
        <v>0</v>
      </c>
      <c r="BE19" s="151">
        <v>0</v>
      </c>
      <c r="BF19" s="152">
        <v>0</v>
      </c>
    </row>
    <row r="20" spans="1:58" ht="13.5" thickBot="1">
      <c r="A20" s="2" t="s">
        <v>29</v>
      </c>
      <c r="C20" s="2"/>
      <c r="D20" s="59">
        <f>SUM(D8:D19)</f>
        <v>2314.0887519999997</v>
      </c>
      <c r="E20" s="59">
        <f>SUM(E8:E19)</f>
        <v>11350</v>
      </c>
      <c r="F20" s="59">
        <f aca="true" t="shared" si="0" ref="F20:S20">SUM(F8:F19)</f>
        <v>11798</v>
      </c>
      <c r="G20" s="59">
        <f t="shared" si="0"/>
        <v>12251</v>
      </c>
      <c r="H20" s="59">
        <f t="shared" si="0"/>
        <v>17498</v>
      </c>
      <c r="I20" s="59">
        <f t="shared" si="0"/>
        <v>18863</v>
      </c>
      <c r="J20" s="59">
        <f t="shared" si="0"/>
        <v>26635</v>
      </c>
      <c r="K20" s="59">
        <f>SUM(K8:K19)</f>
        <v>28439</v>
      </c>
      <c r="L20" s="59">
        <f>SUM(L8:L19)</f>
        <v>27624</v>
      </c>
      <c r="M20" s="59">
        <f t="shared" si="0"/>
        <v>26003</v>
      </c>
      <c r="N20" s="59">
        <f t="shared" si="0"/>
        <v>24888</v>
      </c>
      <c r="O20" s="59">
        <f t="shared" si="0"/>
        <v>23962</v>
      </c>
      <c r="P20" s="59">
        <f t="shared" si="0"/>
        <v>22673</v>
      </c>
      <c r="Q20" s="59">
        <f t="shared" si="0"/>
        <v>25680</v>
      </c>
      <c r="R20" s="59">
        <f t="shared" si="0"/>
        <v>29649</v>
      </c>
      <c r="S20" s="59">
        <f t="shared" si="0"/>
        <v>29772</v>
      </c>
      <c r="T20" s="59">
        <f aca="true" t="shared" si="1" ref="T20:AA20">+SUM(T8:T19)</f>
        <v>29222</v>
      </c>
      <c r="U20" s="59">
        <f t="shared" si="1"/>
        <v>29291</v>
      </c>
      <c r="V20" s="59">
        <f t="shared" si="1"/>
        <v>28981</v>
      </c>
      <c r="W20" s="59">
        <f t="shared" si="1"/>
        <v>29626</v>
      </c>
      <c r="X20" s="126">
        <f t="shared" si="1"/>
        <v>30564</v>
      </c>
      <c r="Y20" s="126">
        <f t="shared" si="1"/>
        <v>30396</v>
      </c>
      <c r="Z20" s="126">
        <f t="shared" si="1"/>
        <v>30661</v>
      </c>
      <c r="AA20" s="126">
        <f t="shared" si="1"/>
        <v>30874</v>
      </c>
      <c r="AB20" s="126">
        <f aca="true" t="shared" si="2" ref="AB20:AG20">+SUM(AB8:AB19)</f>
        <v>35745</v>
      </c>
      <c r="AC20" s="126">
        <f t="shared" si="2"/>
        <v>35581</v>
      </c>
      <c r="AD20" s="126">
        <f t="shared" si="2"/>
        <v>29692</v>
      </c>
      <c r="AE20" s="126">
        <f t="shared" si="2"/>
        <v>29708</v>
      </c>
      <c r="AF20" s="126">
        <f t="shared" si="2"/>
        <v>29985</v>
      </c>
      <c r="AG20" s="126">
        <f t="shared" si="2"/>
        <v>28812</v>
      </c>
      <c r="AH20" s="126">
        <f aca="true" t="shared" si="3" ref="AH20:AM20">+SUM(AH8:AH19)</f>
        <v>28769</v>
      </c>
      <c r="AI20" s="126">
        <f t="shared" si="3"/>
        <v>28600</v>
      </c>
      <c r="AJ20" s="126">
        <f t="shared" si="3"/>
        <v>29641</v>
      </c>
      <c r="AK20" s="126">
        <f t="shared" si="3"/>
        <v>31828</v>
      </c>
      <c r="AL20" s="126">
        <f t="shared" si="3"/>
        <v>35459</v>
      </c>
      <c r="AM20" s="126">
        <f t="shared" si="3"/>
        <v>34814</v>
      </c>
      <c r="AN20" s="126">
        <f aca="true" t="shared" si="4" ref="AN20:AW20">+SUM(AN8:AN19)</f>
        <v>34694</v>
      </c>
      <c r="AO20" s="179">
        <f t="shared" si="4"/>
        <v>37220</v>
      </c>
      <c r="AP20" s="179">
        <f t="shared" si="4"/>
        <v>39623</v>
      </c>
      <c r="AQ20" s="179">
        <f t="shared" si="4"/>
        <v>38994</v>
      </c>
      <c r="AR20" s="179">
        <f t="shared" si="4"/>
        <v>38550</v>
      </c>
      <c r="AS20" s="179">
        <f t="shared" si="4"/>
        <v>39330</v>
      </c>
      <c r="AT20" s="179">
        <f t="shared" si="4"/>
        <v>39679</v>
      </c>
      <c r="AU20" s="179">
        <f t="shared" si="4"/>
        <v>40240</v>
      </c>
      <c r="AV20" s="179">
        <f t="shared" si="4"/>
        <v>38326</v>
      </c>
      <c r="AW20" s="179">
        <f t="shared" si="4"/>
        <v>38306</v>
      </c>
      <c r="AX20" s="179">
        <f aca="true" t="shared" si="5" ref="AX20:BC20">+SUM(AX8:AX19)</f>
        <v>35321</v>
      </c>
      <c r="AY20" s="179">
        <f t="shared" si="5"/>
        <v>33014</v>
      </c>
      <c r="AZ20" s="179">
        <f t="shared" si="5"/>
        <v>32494</v>
      </c>
      <c r="BA20" s="179">
        <f t="shared" si="5"/>
        <v>32477</v>
      </c>
      <c r="BB20" s="179">
        <f t="shared" si="5"/>
        <v>31546</v>
      </c>
      <c r="BC20" s="179">
        <f t="shared" si="5"/>
        <v>30402</v>
      </c>
      <c r="BD20" s="179">
        <f>+SUM(BD8:BD19)</f>
        <v>30215</v>
      </c>
      <c r="BE20" s="179">
        <f>+SUM(BE8:BE19)</f>
        <v>32897</v>
      </c>
      <c r="BF20" s="179">
        <f>+SUM(BF8:BF19)</f>
        <v>37779</v>
      </c>
    </row>
    <row r="21" spans="1:57" s="19" customFormat="1" ht="12.75">
      <c r="A21" s="52"/>
      <c r="B21" s="52"/>
      <c r="C21" s="52"/>
      <c r="D21" s="122"/>
      <c r="E21" s="122"/>
      <c r="F21" s="122"/>
      <c r="G21" s="122"/>
      <c r="H21" s="122"/>
      <c r="I21" s="122"/>
      <c r="J21" s="122"/>
      <c r="K21" s="122"/>
      <c r="L21" s="65"/>
      <c r="M21" s="65"/>
      <c r="N21" s="122"/>
      <c r="O21" s="65"/>
      <c r="P21" s="65"/>
      <c r="Q21" s="65"/>
      <c r="R21" s="65"/>
      <c r="S21" s="65"/>
      <c r="T21" s="65"/>
      <c r="U21" s="65"/>
      <c r="V21" s="65"/>
      <c r="W21" s="65"/>
      <c r="X21" s="65"/>
      <c r="BE21" s="6"/>
    </row>
    <row r="22" spans="1:57" ht="12.75">
      <c r="A22" s="16" t="s">
        <v>18</v>
      </c>
      <c r="C22" s="16"/>
      <c r="D22" s="17"/>
      <c r="E22" s="17"/>
      <c r="F22" s="17"/>
      <c r="G22" s="17"/>
      <c r="H22" s="17"/>
      <c r="I22" s="17"/>
      <c r="J22" s="17"/>
      <c r="K22" s="17"/>
      <c r="L22" s="67"/>
      <c r="M22" s="67"/>
      <c r="N22" s="67"/>
      <c r="O22" s="65"/>
      <c r="P22" s="67"/>
      <c r="Q22" s="67"/>
      <c r="R22" s="67"/>
      <c r="S22" s="67"/>
      <c r="T22" s="67"/>
      <c r="U22" s="67"/>
      <c r="V22" s="141"/>
      <c r="W22" s="141"/>
      <c r="X22" s="140"/>
      <c r="AS22" s="19"/>
      <c r="AT22" s="19"/>
      <c r="BC22" s="19"/>
      <c r="BE22" s="6"/>
    </row>
    <row r="23" spans="1:58" ht="12.75">
      <c r="A23" s="2" t="s">
        <v>357</v>
      </c>
      <c r="C23" s="16"/>
      <c r="D23" s="65">
        <f aca="true" t="shared" si="6" ref="D23:N23">D38-D8</f>
        <v>4227.3</v>
      </c>
      <c r="E23" s="65">
        <f t="shared" si="6"/>
        <v>-131</v>
      </c>
      <c r="F23" s="65">
        <f t="shared" si="6"/>
        <v>-134</v>
      </c>
      <c r="G23" s="65">
        <f t="shared" si="6"/>
        <v>-131</v>
      </c>
      <c r="H23" s="65">
        <f t="shared" si="6"/>
        <v>-133</v>
      </c>
      <c r="I23" s="65">
        <f t="shared" si="6"/>
        <v>-132</v>
      </c>
      <c r="J23" s="65">
        <f t="shared" si="6"/>
        <v>-196</v>
      </c>
      <c r="K23" s="65">
        <f t="shared" si="6"/>
        <v>-141</v>
      </c>
      <c r="L23" s="65">
        <f t="shared" si="6"/>
        <v>-141</v>
      </c>
      <c r="M23" s="65">
        <f t="shared" si="6"/>
        <v>-141</v>
      </c>
      <c r="N23" s="65">
        <f t="shared" si="6"/>
        <v>-128</v>
      </c>
      <c r="O23" s="65">
        <v>-141</v>
      </c>
      <c r="P23" s="67">
        <v>-141</v>
      </c>
      <c r="Q23" s="67">
        <v>-144</v>
      </c>
      <c r="R23" s="67">
        <v>-152</v>
      </c>
      <c r="S23" s="67">
        <v>-157</v>
      </c>
      <c r="T23" s="58">
        <v>-151</v>
      </c>
      <c r="U23" s="58">
        <v>-131</v>
      </c>
      <c r="V23" s="58">
        <f aca="true" t="shared" si="7" ref="V23:AG23">V38-V8</f>
        <v>-150</v>
      </c>
      <c r="W23" s="58">
        <f t="shared" si="7"/>
        <v>-148</v>
      </c>
      <c r="X23" s="66">
        <f t="shared" si="7"/>
        <v>-150</v>
      </c>
      <c r="Y23" s="66">
        <f t="shared" si="7"/>
        <v>-135</v>
      </c>
      <c r="Z23" s="66">
        <f t="shared" si="7"/>
        <v>-148</v>
      </c>
      <c r="AA23" s="66">
        <f t="shared" si="7"/>
        <v>-219</v>
      </c>
      <c r="AB23" s="66">
        <f t="shared" si="7"/>
        <v>-2503</v>
      </c>
      <c r="AC23" s="66">
        <f t="shared" si="7"/>
        <v>-2439</v>
      </c>
      <c r="AD23" s="66">
        <f t="shared" si="7"/>
        <v>-2407</v>
      </c>
      <c r="AE23" s="66">
        <f t="shared" si="7"/>
        <v>-2471</v>
      </c>
      <c r="AF23" s="66">
        <f t="shared" si="7"/>
        <v>-2381</v>
      </c>
      <c r="AG23" s="66">
        <f t="shared" si="7"/>
        <v>-2988</v>
      </c>
      <c r="AH23" s="66">
        <v>-2674</v>
      </c>
      <c r="AI23" s="66">
        <f aca="true" t="shared" si="8" ref="AI23:AO33">AI38-AI8</f>
        <v>-2443</v>
      </c>
      <c r="AJ23" s="66">
        <f t="shared" si="8"/>
        <v>-2281</v>
      </c>
      <c r="AK23" s="66">
        <f t="shared" si="8"/>
        <v>-2699</v>
      </c>
      <c r="AL23" s="66">
        <f t="shared" si="8"/>
        <v>-2740</v>
      </c>
      <c r="AM23" s="66">
        <f t="shared" si="8"/>
        <v>-2553</v>
      </c>
      <c r="AN23" s="66">
        <f t="shared" si="8"/>
        <v>-2670</v>
      </c>
      <c r="AO23" s="66">
        <f t="shared" si="8"/>
        <v>-2601</v>
      </c>
      <c r="AP23" s="66">
        <f aca="true" t="shared" si="9" ref="AP23:AQ34">AP38-AP8</f>
        <v>-2661</v>
      </c>
      <c r="AQ23" s="66">
        <f t="shared" si="9"/>
        <v>-2477</v>
      </c>
      <c r="AR23" s="66">
        <f aca="true" t="shared" si="10" ref="AR23:AS34">AR38-AR8</f>
        <v>-2559</v>
      </c>
      <c r="AS23" s="66">
        <f>+-(AS8-4713)</f>
        <v>-2108</v>
      </c>
      <c r="AT23" s="65">
        <f>AT38-AT8</f>
        <v>-2225</v>
      </c>
      <c r="AU23" s="67">
        <v>-2235</v>
      </c>
      <c r="AV23" s="67">
        <f aca="true" t="shared" si="11" ref="AV23:BA23">AV38-AV8</f>
        <v>-2274</v>
      </c>
      <c r="AW23" s="67">
        <f t="shared" si="11"/>
        <v>-2389</v>
      </c>
      <c r="AX23" s="67">
        <f t="shared" si="11"/>
        <v>-2206</v>
      </c>
      <c r="AY23" s="67">
        <f t="shared" si="11"/>
        <v>-2265</v>
      </c>
      <c r="AZ23" s="65">
        <f t="shared" si="11"/>
        <v>-2058</v>
      </c>
      <c r="BA23" s="65">
        <f t="shared" si="11"/>
        <v>-2344</v>
      </c>
      <c r="BB23" s="65">
        <f aca="true" t="shared" si="12" ref="BB23:BC34">BB38-BB8</f>
        <v>-2237</v>
      </c>
      <c r="BC23" s="65">
        <f aca="true" t="shared" si="13" ref="BC23:BD28">BC38-BC8</f>
        <v>-2142</v>
      </c>
      <c r="BD23" s="65">
        <f t="shared" si="13"/>
        <v>-2312</v>
      </c>
      <c r="BE23" s="67">
        <f aca="true" t="shared" si="14" ref="BE23:BF34">BE38-BE8</f>
        <v>-2758</v>
      </c>
      <c r="BF23" s="65">
        <f t="shared" si="14"/>
        <v>-2562</v>
      </c>
    </row>
    <row r="24" spans="1:58" ht="12.75">
      <c r="A24" s="2" t="s">
        <v>102</v>
      </c>
      <c r="C24" s="16"/>
      <c r="D24" s="65">
        <f aca="true" t="shared" si="15" ref="D24:N24">D39-D9</f>
        <v>-283</v>
      </c>
      <c r="E24" s="65">
        <f t="shared" si="15"/>
        <v>0</v>
      </c>
      <c r="F24" s="65">
        <f t="shared" si="15"/>
        <v>-59</v>
      </c>
      <c r="G24" s="65">
        <f t="shared" si="15"/>
        <v>-176</v>
      </c>
      <c r="H24" s="65">
        <f t="shared" si="15"/>
        <v>-265</v>
      </c>
      <c r="I24" s="65">
        <f t="shared" si="15"/>
        <v>-347</v>
      </c>
      <c r="J24" s="65">
        <f t="shared" si="15"/>
        <v>-644</v>
      </c>
      <c r="K24" s="65">
        <f t="shared" si="15"/>
        <v>-500</v>
      </c>
      <c r="L24" s="65">
        <f t="shared" si="15"/>
        <v>-528</v>
      </c>
      <c r="M24" s="65">
        <f t="shared" si="15"/>
        <v>-532</v>
      </c>
      <c r="N24" s="65">
        <f t="shared" si="15"/>
        <v>-562</v>
      </c>
      <c r="O24" s="65">
        <v>-417</v>
      </c>
      <c r="P24" s="67">
        <v>-401</v>
      </c>
      <c r="Q24" s="67">
        <v>-373</v>
      </c>
      <c r="R24" s="67">
        <v>-387</v>
      </c>
      <c r="S24" s="67">
        <v>-385</v>
      </c>
      <c r="T24" s="58">
        <v>-405</v>
      </c>
      <c r="U24" s="58">
        <v>-249</v>
      </c>
      <c r="V24" s="58">
        <f aca="true" t="shared" si="16" ref="V24:AG24">V39-V9</f>
        <v>-313</v>
      </c>
      <c r="W24" s="58">
        <f t="shared" si="16"/>
        <v>-378</v>
      </c>
      <c r="X24" s="66">
        <f t="shared" si="16"/>
        <v>-392</v>
      </c>
      <c r="Y24" s="66">
        <f t="shared" si="16"/>
        <v>-480</v>
      </c>
      <c r="Z24" s="66">
        <f t="shared" si="16"/>
        <v>-488</v>
      </c>
      <c r="AA24" s="66">
        <f t="shared" si="16"/>
        <v>-373</v>
      </c>
      <c r="AB24" s="66">
        <f t="shared" si="16"/>
        <v>-419</v>
      </c>
      <c r="AC24" s="66">
        <f t="shared" si="16"/>
        <v>-342</v>
      </c>
      <c r="AD24" s="66">
        <f t="shared" si="16"/>
        <v>-390</v>
      </c>
      <c r="AE24" s="66">
        <f t="shared" si="16"/>
        <v>-401</v>
      </c>
      <c r="AF24" s="66">
        <f t="shared" si="16"/>
        <v>-446</v>
      </c>
      <c r="AG24" s="66">
        <f t="shared" si="16"/>
        <v>-421</v>
      </c>
      <c r="AH24" s="66">
        <v>-406</v>
      </c>
      <c r="AI24" s="66">
        <f t="shared" si="8"/>
        <v>-397</v>
      </c>
      <c r="AJ24" s="66">
        <f t="shared" si="8"/>
        <v>-420</v>
      </c>
      <c r="AK24" s="66">
        <f t="shared" si="8"/>
        <v>-504</v>
      </c>
      <c r="AL24" s="66">
        <f t="shared" si="8"/>
        <v>-442</v>
      </c>
      <c r="AM24" s="66">
        <f t="shared" si="8"/>
        <v>-433</v>
      </c>
      <c r="AN24" s="66">
        <f t="shared" si="8"/>
        <v>-455</v>
      </c>
      <c r="AO24" s="66">
        <f t="shared" si="8"/>
        <v>-449</v>
      </c>
      <c r="AP24" s="66">
        <f t="shared" si="9"/>
        <v>-427</v>
      </c>
      <c r="AQ24" s="66">
        <f t="shared" si="9"/>
        <v>-417</v>
      </c>
      <c r="AR24" s="66">
        <f t="shared" si="10"/>
        <v>-405</v>
      </c>
      <c r="AS24" s="66">
        <f>+-(AS9-1038)</f>
        <v>-436</v>
      </c>
      <c r="AT24" s="65">
        <f aca="true" t="shared" si="17" ref="AT24:AT34">AT39-AT9</f>
        <v>-414</v>
      </c>
      <c r="AU24" s="67">
        <v>-411</v>
      </c>
      <c r="AV24" s="67">
        <f aca="true" t="shared" si="18" ref="AV24:AW34">AV39-AV9</f>
        <v>-384</v>
      </c>
      <c r="AW24" s="67">
        <f aca="true" t="shared" si="19" ref="AW24:AX29">AW39-AW9</f>
        <v>-420</v>
      </c>
      <c r="AX24" s="67">
        <f t="shared" si="19"/>
        <v>-426</v>
      </c>
      <c r="AY24" s="67">
        <f aca="true" t="shared" si="20" ref="AY24:AZ34">AY39-AY9</f>
        <v>-433</v>
      </c>
      <c r="AZ24" s="65">
        <f aca="true" t="shared" si="21" ref="AZ24:BA29">AZ39-AZ9</f>
        <v>-414</v>
      </c>
      <c r="BA24" s="65">
        <f t="shared" si="21"/>
        <v>-347</v>
      </c>
      <c r="BB24" s="65">
        <f t="shared" si="12"/>
        <v>0</v>
      </c>
      <c r="BC24" s="65">
        <f t="shared" si="13"/>
        <v>0</v>
      </c>
      <c r="BD24" s="65">
        <f t="shared" si="13"/>
        <v>0</v>
      </c>
      <c r="BE24" s="67">
        <f t="shared" si="14"/>
        <v>0</v>
      </c>
      <c r="BF24" s="65">
        <f t="shared" si="14"/>
        <v>0</v>
      </c>
    </row>
    <row r="25" spans="1:58" ht="12.75">
      <c r="A25" s="2" t="s">
        <v>103</v>
      </c>
      <c r="C25" s="16"/>
      <c r="D25" s="65">
        <f aca="true" t="shared" si="22" ref="D25:N25">D40-D10</f>
        <v>-351.2</v>
      </c>
      <c r="E25" s="65">
        <f t="shared" si="22"/>
        <v>0</v>
      </c>
      <c r="F25" s="65">
        <f t="shared" si="22"/>
        <v>0</v>
      </c>
      <c r="G25" s="65">
        <f t="shared" si="22"/>
        <v>0</v>
      </c>
      <c r="H25" s="65">
        <f t="shared" si="22"/>
        <v>0</v>
      </c>
      <c r="I25" s="65">
        <f t="shared" si="22"/>
        <v>0</v>
      </c>
      <c r="J25" s="65">
        <f t="shared" si="22"/>
        <v>-990</v>
      </c>
      <c r="K25" s="65">
        <f t="shared" si="22"/>
        <v>-1331</v>
      </c>
      <c r="L25" s="65">
        <f t="shared" si="22"/>
        <v>-1314</v>
      </c>
      <c r="M25" s="65">
        <f t="shared" si="22"/>
        <v>-1383</v>
      </c>
      <c r="N25" s="65">
        <f t="shared" si="22"/>
        <v>-1426</v>
      </c>
      <c r="O25" s="65">
        <v>-1152</v>
      </c>
      <c r="P25" s="67">
        <v>-978</v>
      </c>
      <c r="Q25" s="67">
        <v>-1027</v>
      </c>
      <c r="R25" s="67">
        <v>-1086</v>
      </c>
      <c r="S25" s="67">
        <v>-1348</v>
      </c>
      <c r="T25" s="58">
        <v>-1097</v>
      </c>
      <c r="U25" s="58">
        <v>-794</v>
      </c>
      <c r="V25" s="58">
        <f aca="true" t="shared" si="23" ref="V25:AG25">V40-V10</f>
        <v>-1088</v>
      </c>
      <c r="W25" s="58">
        <f t="shared" si="23"/>
        <v>-1133</v>
      </c>
      <c r="X25" s="66">
        <f t="shared" si="23"/>
        <v>-1229</v>
      </c>
      <c r="Y25" s="66">
        <f t="shared" si="23"/>
        <v>-1352</v>
      </c>
      <c r="Z25" s="66">
        <f t="shared" si="23"/>
        <v>-1260</v>
      </c>
      <c r="AA25" s="66">
        <f t="shared" si="23"/>
        <v>-1216</v>
      </c>
      <c r="AB25" s="66">
        <f t="shared" si="23"/>
        <v>-1332</v>
      </c>
      <c r="AC25" s="66">
        <f t="shared" si="23"/>
        <v>-1369</v>
      </c>
      <c r="AD25" s="66">
        <f t="shared" si="23"/>
        <v>1</v>
      </c>
      <c r="AE25" s="66">
        <f t="shared" si="23"/>
        <v>0</v>
      </c>
      <c r="AF25" s="66">
        <f t="shared" si="23"/>
        <v>0</v>
      </c>
      <c r="AG25" s="66">
        <f t="shared" si="23"/>
        <v>0</v>
      </c>
      <c r="AH25" s="66">
        <f>AH40-AH10</f>
        <v>0</v>
      </c>
      <c r="AI25" s="66">
        <f t="shared" si="8"/>
        <v>0</v>
      </c>
      <c r="AJ25" s="66">
        <f t="shared" si="8"/>
        <v>0</v>
      </c>
      <c r="AK25" s="66">
        <f t="shared" si="8"/>
        <v>0</v>
      </c>
      <c r="AL25" s="66">
        <f t="shared" si="8"/>
        <v>0</v>
      </c>
      <c r="AM25" s="66">
        <f t="shared" si="8"/>
        <v>0</v>
      </c>
      <c r="AN25" s="66">
        <f t="shared" si="8"/>
        <v>0</v>
      </c>
      <c r="AO25" s="66">
        <f t="shared" si="8"/>
        <v>0</v>
      </c>
      <c r="AP25" s="66">
        <f t="shared" si="9"/>
        <v>0</v>
      </c>
      <c r="AQ25" s="66">
        <f t="shared" si="9"/>
        <v>0</v>
      </c>
      <c r="AR25" s="66">
        <f t="shared" si="10"/>
        <v>0</v>
      </c>
      <c r="AS25" s="66">
        <v>0</v>
      </c>
      <c r="AT25" s="65">
        <f t="shared" si="17"/>
        <v>0</v>
      </c>
      <c r="AU25" s="67">
        <v>0</v>
      </c>
      <c r="AV25" s="67">
        <f t="shared" si="18"/>
        <v>0</v>
      </c>
      <c r="AW25" s="67">
        <f t="shared" si="19"/>
        <v>0</v>
      </c>
      <c r="AX25" s="67">
        <f t="shared" si="19"/>
        <v>0</v>
      </c>
      <c r="AY25" s="67">
        <f t="shared" si="20"/>
        <v>0</v>
      </c>
      <c r="AZ25" s="65">
        <f t="shared" si="21"/>
        <v>0</v>
      </c>
      <c r="BA25" s="65">
        <f t="shared" si="21"/>
        <v>0</v>
      </c>
      <c r="BB25" s="65">
        <f t="shared" si="12"/>
        <v>0</v>
      </c>
      <c r="BC25" s="65">
        <f t="shared" si="13"/>
        <v>0</v>
      </c>
      <c r="BD25" s="65">
        <f t="shared" si="13"/>
        <v>0</v>
      </c>
      <c r="BE25" s="67">
        <f t="shared" si="14"/>
        <v>0</v>
      </c>
      <c r="BF25" s="65">
        <f t="shared" si="14"/>
        <v>0</v>
      </c>
    </row>
    <row r="26" spans="1:58" ht="12.75">
      <c r="A26" s="2" t="s">
        <v>104</v>
      </c>
      <c r="C26" s="16"/>
      <c r="D26" s="65">
        <f aca="true" t="shared" si="24" ref="D26:K28">D41-D11</f>
        <v>-360.18</v>
      </c>
      <c r="E26" s="65">
        <f t="shared" si="24"/>
        <v>0</v>
      </c>
      <c r="F26" s="65">
        <f t="shared" si="24"/>
        <v>0</v>
      </c>
      <c r="G26" s="65">
        <f t="shared" si="24"/>
        <v>0</v>
      </c>
      <c r="H26" s="65">
        <f t="shared" si="24"/>
        <v>0</v>
      </c>
      <c r="I26" s="65">
        <f t="shared" si="24"/>
        <v>0</v>
      </c>
      <c r="J26" s="65">
        <f t="shared" si="24"/>
        <v>0</v>
      </c>
      <c r="K26" s="65">
        <f t="shared" si="24"/>
        <v>0</v>
      </c>
      <c r="L26" s="65">
        <f>L41-K11</f>
        <v>0</v>
      </c>
      <c r="M26" s="65">
        <f aca="true" t="shared" si="25" ref="M26:N28">M41-M11</f>
        <v>0</v>
      </c>
      <c r="N26" s="65">
        <f t="shared" si="25"/>
        <v>0</v>
      </c>
      <c r="O26" s="65">
        <v>0</v>
      </c>
      <c r="P26" s="67">
        <v>0</v>
      </c>
      <c r="Q26" s="67">
        <v>-66</v>
      </c>
      <c r="R26" s="67">
        <v>-175</v>
      </c>
      <c r="S26" s="67">
        <v>-176</v>
      </c>
      <c r="T26" s="58">
        <v>-183</v>
      </c>
      <c r="U26" s="58">
        <v>-151</v>
      </c>
      <c r="V26" s="58">
        <f aca="true" t="shared" si="26" ref="V26:AG26">V41-V11</f>
        <v>-171</v>
      </c>
      <c r="W26" s="58">
        <f t="shared" si="26"/>
        <v>-172</v>
      </c>
      <c r="X26" s="66">
        <f t="shared" si="26"/>
        <v>-171</v>
      </c>
      <c r="Y26" s="66">
        <f t="shared" si="26"/>
        <v>-157</v>
      </c>
      <c r="Z26" s="66">
        <f t="shared" si="26"/>
        <v>-171</v>
      </c>
      <c r="AA26" s="66">
        <f t="shared" si="26"/>
        <v>-171</v>
      </c>
      <c r="AB26" s="66">
        <f t="shared" si="26"/>
        <v>-171</v>
      </c>
      <c r="AC26" s="66">
        <f t="shared" si="26"/>
        <v>-158</v>
      </c>
      <c r="AD26" s="66">
        <f t="shared" si="26"/>
        <v>-171</v>
      </c>
      <c r="AE26" s="66">
        <f t="shared" si="26"/>
        <v>-171</v>
      </c>
      <c r="AF26" s="66">
        <f t="shared" si="26"/>
        <v>-171</v>
      </c>
      <c r="AG26" s="66">
        <f t="shared" si="26"/>
        <v>-159</v>
      </c>
      <c r="AH26" s="66">
        <v>-171</v>
      </c>
      <c r="AI26" s="66">
        <f t="shared" si="8"/>
        <v>-171</v>
      </c>
      <c r="AJ26" s="66">
        <f t="shared" si="8"/>
        <v>-171</v>
      </c>
      <c r="AK26" s="66">
        <f t="shared" si="8"/>
        <v>-1561</v>
      </c>
      <c r="AL26" s="66">
        <f t="shared" si="8"/>
        <v>-3643</v>
      </c>
      <c r="AM26" s="66">
        <f t="shared" si="8"/>
        <v>-3471</v>
      </c>
      <c r="AN26" s="66">
        <f t="shared" si="8"/>
        <v>-3529</v>
      </c>
      <c r="AO26" s="66">
        <f t="shared" si="8"/>
        <v>-3441</v>
      </c>
      <c r="AP26" s="66">
        <f t="shared" si="9"/>
        <v>-3247</v>
      </c>
      <c r="AQ26" s="66">
        <f t="shared" si="9"/>
        <v>-3244</v>
      </c>
      <c r="AR26" s="66">
        <f t="shared" si="10"/>
        <v>-3227</v>
      </c>
      <c r="AS26" s="66">
        <f>+-(AS11-10152)</f>
        <v>-3162</v>
      </c>
      <c r="AT26" s="65">
        <f t="shared" si="17"/>
        <v>-3248</v>
      </c>
      <c r="AU26" s="67">
        <v>-3176</v>
      </c>
      <c r="AV26" s="67">
        <f t="shared" si="18"/>
        <v>-3277</v>
      </c>
      <c r="AW26" s="67">
        <f t="shared" si="19"/>
        <v>-3271</v>
      </c>
      <c r="AX26" s="67">
        <f t="shared" si="19"/>
        <v>-3407</v>
      </c>
      <c r="AY26" s="67">
        <f t="shared" si="20"/>
        <v>-3197</v>
      </c>
      <c r="AZ26" s="65">
        <f t="shared" si="21"/>
        <v>-3339</v>
      </c>
      <c r="BA26" s="65">
        <f t="shared" si="21"/>
        <v>-2751</v>
      </c>
      <c r="BB26" s="65">
        <f t="shared" si="12"/>
        <v>-3006</v>
      </c>
      <c r="BC26" s="65">
        <f t="shared" si="13"/>
        <v>-2989</v>
      </c>
      <c r="BD26" s="65">
        <f t="shared" si="13"/>
        <v>-2984</v>
      </c>
      <c r="BE26" s="67">
        <f t="shared" si="14"/>
        <v>-3362</v>
      </c>
      <c r="BF26" s="65">
        <f t="shared" si="14"/>
        <v>-3232</v>
      </c>
    </row>
    <row r="27" spans="1:58" ht="12.75">
      <c r="A27" s="2" t="s">
        <v>105</v>
      </c>
      <c r="C27" s="16"/>
      <c r="D27" s="65">
        <f t="shared" si="24"/>
        <v>4425.248</v>
      </c>
      <c r="E27" s="65">
        <f t="shared" si="24"/>
        <v>-1894</v>
      </c>
      <c r="F27" s="65">
        <f t="shared" si="24"/>
        <v>-1931</v>
      </c>
      <c r="G27" s="65">
        <f t="shared" si="24"/>
        <v>-1715</v>
      </c>
      <c r="H27" s="65">
        <f t="shared" si="24"/>
        <v>-1978</v>
      </c>
      <c r="I27" s="65">
        <f t="shared" si="24"/>
        <v>-2196</v>
      </c>
      <c r="J27" s="65">
        <f t="shared" si="24"/>
        <v>-2272</v>
      </c>
      <c r="K27" s="65">
        <f t="shared" si="24"/>
        <v>-2065</v>
      </c>
      <c r="L27" s="65">
        <f>L42-L12</f>
        <v>-2558</v>
      </c>
      <c r="M27" s="65">
        <f t="shared" si="25"/>
        <v>-2190</v>
      </c>
      <c r="N27" s="65">
        <f t="shared" si="25"/>
        <v>-1759</v>
      </c>
      <c r="O27" s="65">
        <v>-1618</v>
      </c>
      <c r="P27" s="67">
        <v>-2058</v>
      </c>
      <c r="Q27" s="67">
        <v>-1969</v>
      </c>
      <c r="R27" s="67">
        <v>-2037</v>
      </c>
      <c r="S27" s="67">
        <v>-2015</v>
      </c>
      <c r="T27" s="58">
        <v>-2568</v>
      </c>
      <c r="U27" s="58">
        <v>-2079</v>
      </c>
      <c r="V27" s="58">
        <f aca="true" t="shared" si="27" ref="V27:AG27">V42-V12</f>
        <v>-2178</v>
      </c>
      <c r="W27" s="58">
        <f t="shared" si="27"/>
        <v>-2536</v>
      </c>
      <c r="X27" s="66">
        <f t="shared" si="27"/>
        <v>-2472</v>
      </c>
      <c r="Y27" s="66">
        <f t="shared" si="27"/>
        <v>-2496</v>
      </c>
      <c r="Z27" s="66">
        <f t="shared" si="27"/>
        <v>-2513</v>
      </c>
      <c r="AA27" s="66">
        <f t="shared" si="27"/>
        <v>-2634</v>
      </c>
      <c r="AB27" s="66">
        <f t="shared" si="27"/>
        <v>-2903</v>
      </c>
      <c r="AC27" s="66">
        <f t="shared" si="27"/>
        <v>-2512</v>
      </c>
      <c r="AD27" s="66">
        <f t="shared" si="27"/>
        <v>-2562</v>
      </c>
      <c r="AE27" s="66">
        <f t="shared" si="27"/>
        <v>-2664</v>
      </c>
      <c r="AF27" s="66">
        <f t="shared" si="27"/>
        <v>-3081</v>
      </c>
      <c r="AG27" s="66">
        <f t="shared" si="27"/>
        <v>-2250</v>
      </c>
      <c r="AH27" s="66">
        <v>-2453</v>
      </c>
      <c r="AI27" s="66">
        <f t="shared" si="8"/>
        <v>-2519</v>
      </c>
      <c r="AJ27" s="66">
        <f t="shared" si="8"/>
        <v>-2725</v>
      </c>
      <c r="AK27" s="66">
        <f t="shared" si="8"/>
        <v>-2282</v>
      </c>
      <c r="AL27" s="66">
        <f t="shared" si="8"/>
        <v>-2215</v>
      </c>
      <c r="AM27" s="66">
        <f t="shared" si="8"/>
        <v>-2356</v>
      </c>
      <c r="AN27" s="66">
        <f t="shared" si="8"/>
        <v>-2555</v>
      </c>
      <c r="AO27" s="66">
        <f t="shared" si="8"/>
        <v>-2090</v>
      </c>
      <c r="AP27" s="66">
        <f t="shared" si="9"/>
        <v>-1921</v>
      </c>
      <c r="AQ27" s="66">
        <f t="shared" si="9"/>
        <v>-1976</v>
      </c>
      <c r="AR27" s="66">
        <f t="shared" si="10"/>
        <v>-2077</v>
      </c>
      <c r="AS27" s="66">
        <f>+-(AS12-4693)</f>
        <v>-2011</v>
      </c>
      <c r="AT27" s="65">
        <f t="shared" si="17"/>
        <v>-2339</v>
      </c>
      <c r="AU27" s="67">
        <v>-1967</v>
      </c>
      <c r="AV27" s="67">
        <f t="shared" si="18"/>
        <v>-2212</v>
      </c>
      <c r="AW27" s="67">
        <f t="shared" si="19"/>
        <v>-2149</v>
      </c>
      <c r="AX27" s="67">
        <f t="shared" si="19"/>
        <v>-2100</v>
      </c>
      <c r="AY27" s="67">
        <f t="shared" si="20"/>
        <v>-2249</v>
      </c>
      <c r="AZ27" s="65">
        <f t="shared" si="21"/>
        <v>-2416</v>
      </c>
      <c r="BA27" s="65">
        <f t="shared" si="21"/>
        <v>-2701</v>
      </c>
      <c r="BB27" s="65">
        <f t="shared" si="12"/>
        <v>-2775</v>
      </c>
      <c r="BC27" s="65">
        <f t="shared" si="13"/>
        <v>-2802</v>
      </c>
      <c r="BD27" s="65">
        <f t="shared" si="13"/>
        <v>-2805</v>
      </c>
      <c r="BE27" s="67">
        <f t="shared" si="14"/>
        <v>-2672</v>
      </c>
      <c r="BF27" s="65">
        <f t="shared" si="14"/>
        <v>-2885</v>
      </c>
    </row>
    <row r="28" spans="1:58" ht="12.75">
      <c r="A28" s="2" t="s">
        <v>106</v>
      </c>
      <c r="C28" s="16"/>
      <c r="D28" s="65">
        <f t="shared" si="24"/>
        <v>-48.8592</v>
      </c>
      <c r="E28" s="65">
        <f t="shared" si="24"/>
        <v>0</v>
      </c>
      <c r="F28" s="65">
        <f t="shared" si="24"/>
        <v>0</v>
      </c>
      <c r="G28" s="65">
        <f t="shared" si="24"/>
        <v>0</v>
      </c>
      <c r="H28" s="65">
        <f t="shared" si="24"/>
        <v>0</v>
      </c>
      <c r="I28" s="65">
        <f t="shared" si="24"/>
        <v>-401</v>
      </c>
      <c r="J28" s="65">
        <f t="shared" si="24"/>
        <v>-540</v>
      </c>
      <c r="K28" s="65">
        <f t="shared" si="24"/>
        <v>-466</v>
      </c>
      <c r="L28" s="65">
        <f>L43-L13</f>
        <v>-526</v>
      </c>
      <c r="M28" s="65">
        <f t="shared" si="25"/>
        <v>-455</v>
      </c>
      <c r="N28" s="65">
        <f t="shared" si="25"/>
        <v>-412</v>
      </c>
      <c r="O28" s="65">
        <v>-310</v>
      </c>
      <c r="P28" s="67">
        <v>-337</v>
      </c>
      <c r="Q28" s="67">
        <v>-345</v>
      </c>
      <c r="R28" s="67">
        <v>-449</v>
      </c>
      <c r="S28" s="67">
        <v>-481</v>
      </c>
      <c r="T28" s="58">
        <v>-460</v>
      </c>
      <c r="U28" s="58">
        <v>-553</v>
      </c>
      <c r="V28" s="58">
        <f aca="true" t="shared" si="28" ref="V28:AG28">V43-V13</f>
        <v>-426</v>
      </c>
      <c r="W28" s="58">
        <f t="shared" si="28"/>
        <v>-450</v>
      </c>
      <c r="X28" s="66">
        <f t="shared" si="28"/>
        <v>-424</v>
      </c>
      <c r="Y28" s="66">
        <f t="shared" si="28"/>
        <v>-402</v>
      </c>
      <c r="Z28" s="66">
        <f t="shared" si="28"/>
        <v>-564</v>
      </c>
      <c r="AA28" s="66">
        <f t="shared" si="28"/>
        <v>-518</v>
      </c>
      <c r="AB28" s="66">
        <f t="shared" si="28"/>
        <v>-1001</v>
      </c>
      <c r="AC28" s="66">
        <f t="shared" si="28"/>
        <v>-1293</v>
      </c>
      <c r="AD28" s="66">
        <f t="shared" si="28"/>
        <v>-983</v>
      </c>
      <c r="AE28" s="66">
        <f t="shared" si="28"/>
        <v>-963</v>
      </c>
      <c r="AF28" s="66">
        <f t="shared" si="28"/>
        <v>-824</v>
      </c>
      <c r="AG28" s="66">
        <f t="shared" si="28"/>
        <v>-1112</v>
      </c>
      <c r="AH28" s="66">
        <v>-939</v>
      </c>
      <c r="AI28" s="66">
        <f t="shared" si="8"/>
        <v>-1366</v>
      </c>
      <c r="AJ28" s="66">
        <f t="shared" si="8"/>
        <v>-1125</v>
      </c>
      <c r="AK28" s="66">
        <f t="shared" si="8"/>
        <v>-977</v>
      </c>
      <c r="AL28" s="66">
        <f t="shared" si="8"/>
        <v>-975</v>
      </c>
      <c r="AM28" s="66">
        <f t="shared" si="8"/>
        <v>-1285</v>
      </c>
      <c r="AN28" s="66">
        <f t="shared" si="8"/>
        <v>-1164</v>
      </c>
      <c r="AO28" s="66">
        <f t="shared" si="8"/>
        <v>-738</v>
      </c>
      <c r="AP28" s="66">
        <f t="shared" si="9"/>
        <v>-866</v>
      </c>
      <c r="AQ28" s="66">
        <f t="shared" si="9"/>
        <v>-859</v>
      </c>
      <c r="AR28" s="66">
        <f t="shared" si="10"/>
        <v>-979</v>
      </c>
      <c r="AS28" s="66">
        <f>+-(AS13-4327)</f>
        <v>-1136</v>
      </c>
      <c r="AT28" s="65">
        <f t="shared" si="17"/>
        <v>-953</v>
      </c>
      <c r="AU28" s="67">
        <v>-981</v>
      </c>
      <c r="AV28" s="67">
        <f t="shared" si="18"/>
        <v>-899</v>
      </c>
      <c r="AW28" s="67">
        <f t="shared" si="19"/>
        <v>-2001</v>
      </c>
      <c r="AX28" s="67">
        <f t="shared" si="19"/>
        <v>-916</v>
      </c>
      <c r="AY28" s="67">
        <f t="shared" si="20"/>
        <v>-1047</v>
      </c>
      <c r="AZ28" s="65">
        <f t="shared" si="21"/>
        <v>-2562</v>
      </c>
      <c r="BA28" s="65">
        <f t="shared" si="21"/>
        <v>-1269</v>
      </c>
      <c r="BB28" s="65">
        <f t="shared" si="12"/>
        <v>-908</v>
      </c>
      <c r="BC28" s="65">
        <f t="shared" si="13"/>
        <v>-887</v>
      </c>
      <c r="BD28" s="65">
        <f t="shared" si="13"/>
        <v>-897</v>
      </c>
      <c r="BE28" s="67">
        <f t="shared" si="14"/>
        <v>-886</v>
      </c>
      <c r="BF28" s="65">
        <f t="shared" si="14"/>
        <v>-852</v>
      </c>
    </row>
    <row r="29" spans="1:58" ht="12.75">
      <c r="A29" s="2" t="s">
        <v>178</v>
      </c>
      <c r="C29" s="16"/>
      <c r="D29" s="65"/>
      <c r="E29" s="65"/>
      <c r="F29" s="65"/>
      <c r="G29" s="65"/>
      <c r="H29" s="65"/>
      <c r="I29" s="65"/>
      <c r="J29" s="65"/>
      <c r="K29" s="66">
        <v>0</v>
      </c>
      <c r="L29" s="66">
        <v>0</v>
      </c>
      <c r="M29" s="66">
        <v>0</v>
      </c>
      <c r="N29" s="66">
        <v>0</v>
      </c>
      <c r="O29" s="66">
        <v>0</v>
      </c>
      <c r="P29" s="66">
        <v>0</v>
      </c>
      <c r="Q29" s="66">
        <v>0</v>
      </c>
      <c r="R29" s="66">
        <v>0</v>
      </c>
      <c r="S29" s="66">
        <v>0</v>
      </c>
      <c r="T29" s="66">
        <v>0</v>
      </c>
      <c r="U29" s="66">
        <v>0</v>
      </c>
      <c r="V29" s="66">
        <v>0</v>
      </c>
      <c r="W29" s="66">
        <v>0</v>
      </c>
      <c r="X29" s="66">
        <v>0</v>
      </c>
      <c r="Y29" s="66">
        <f aca="true" t="shared" si="29" ref="Y29:AA30">Y44-Y14</f>
        <v>0</v>
      </c>
      <c r="Z29" s="66">
        <f t="shared" si="29"/>
        <v>0</v>
      </c>
      <c r="AA29" s="66">
        <f t="shared" si="29"/>
        <v>0</v>
      </c>
      <c r="AB29" s="66">
        <f aca="true" t="shared" si="30" ref="AB29:AH33">AB44-AB14</f>
        <v>0</v>
      </c>
      <c r="AC29" s="66">
        <f t="shared" si="30"/>
        <v>0</v>
      </c>
      <c r="AD29" s="66">
        <f t="shared" si="30"/>
        <v>0</v>
      </c>
      <c r="AE29" s="66">
        <f t="shared" si="30"/>
        <v>0</v>
      </c>
      <c r="AF29" s="66">
        <f t="shared" si="30"/>
        <v>0</v>
      </c>
      <c r="AG29" s="66">
        <f t="shared" si="30"/>
        <v>0</v>
      </c>
      <c r="AH29" s="66">
        <f t="shared" si="30"/>
        <v>0</v>
      </c>
      <c r="AI29" s="66">
        <f t="shared" si="8"/>
        <v>0</v>
      </c>
      <c r="AJ29" s="66">
        <f t="shared" si="8"/>
        <v>0</v>
      </c>
      <c r="AK29" s="66">
        <f t="shared" si="8"/>
        <v>0</v>
      </c>
      <c r="AL29" s="66">
        <f t="shared" si="8"/>
        <v>0</v>
      </c>
      <c r="AM29" s="66">
        <f t="shared" si="8"/>
        <v>0</v>
      </c>
      <c r="AN29" s="66">
        <f t="shared" si="8"/>
        <v>0</v>
      </c>
      <c r="AO29" s="66">
        <f t="shared" si="8"/>
        <v>-514</v>
      </c>
      <c r="AP29" s="66">
        <f t="shared" si="9"/>
        <v>-1123</v>
      </c>
      <c r="AQ29" s="66">
        <f t="shared" si="9"/>
        <v>-1185</v>
      </c>
      <c r="AR29" s="66">
        <f t="shared" si="10"/>
        <v>-1192</v>
      </c>
      <c r="AS29" s="66">
        <f>+-(AS14-4366)</f>
        <v>-1188</v>
      </c>
      <c r="AT29" s="65">
        <f t="shared" si="17"/>
        <v>-1288</v>
      </c>
      <c r="AU29" s="67">
        <v>-1450</v>
      </c>
      <c r="AV29" s="67">
        <f t="shared" si="18"/>
        <v>-1404</v>
      </c>
      <c r="AW29" s="67">
        <f t="shared" si="19"/>
        <v>-1341</v>
      </c>
      <c r="AX29" s="67">
        <f t="shared" si="19"/>
        <v>-1408</v>
      </c>
      <c r="AY29" s="67">
        <f t="shared" si="20"/>
        <v>-1391</v>
      </c>
      <c r="AZ29" s="65">
        <f t="shared" si="21"/>
        <v>-1334</v>
      </c>
      <c r="BA29" s="65">
        <f t="shared" si="21"/>
        <v>-1454</v>
      </c>
      <c r="BB29" s="65">
        <f t="shared" si="12"/>
        <v>-1498</v>
      </c>
      <c r="BC29" s="65">
        <f t="shared" si="12"/>
        <v>-1495</v>
      </c>
      <c r="BD29" s="65">
        <f aca="true" t="shared" si="31" ref="BD29:BD34">BD44-BD14</f>
        <v>-1464</v>
      </c>
      <c r="BE29" s="67">
        <f t="shared" si="14"/>
        <v>-1492</v>
      </c>
      <c r="BF29" s="65">
        <f t="shared" si="14"/>
        <v>-1534</v>
      </c>
    </row>
    <row r="30" spans="1:58" ht="12.75">
      <c r="A30" s="2" t="s">
        <v>136</v>
      </c>
      <c r="C30" s="2"/>
      <c r="D30" s="65">
        <f aca="true" t="shared" si="32" ref="D30:N30">D45-D15</f>
        <v>-74.2284</v>
      </c>
      <c r="E30" s="65">
        <f t="shared" si="32"/>
        <v>0</v>
      </c>
      <c r="F30" s="65">
        <f t="shared" si="32"/>
        <v>0</v>
      </c>
      <c r="G30" s="65">
        <f t="shared" si="32"/>
        <v>0</v>
      </c>
      <c r="H30" s="65">
        <f t="shared" si="32"/>
        <v>0</v>
      </c>
      <c r="I30" s="65">
        <f t="shared" si="32"/>
        <v>-330</v>
      </c>
      <c r="J30" s="65">
        <f t="shared" si="32"/>
        <v>-698</v>
      </c>
      <c r="K30" s="65">
        <f t="shared" si="32"/>
        <v>-961</v>
      </c>
      <c r="L30" s="65">
        <f t="shared" si="32"/>
        <v>-895</v>
      </c>
      <c r="M30" s="65">
        <f t="shared" si="32"/>
        <v>-849</v>
      </c>
      <c r="N30" s="65">
        <f t="shared" si="32"/>
        <v>-929</v>
      </c>
      <c r="O30" s="65">
        <v>-765</v>
      </c>
      <c r="P30" s="67">
        <v>-848</v>
      </c>
      <c r="Q30" s="67">
        <v>-908</v>
      </c>
      <c r="R30" s="67">
        <v>-880</v>
      </c>
      <c r="S30" s="67">
        <v>-832</v>
      </c>
      <c r="T30" s="58">
        <v>-866</v>
      </c>
      <c r="U30" s="58">
        <v>-1110</v>
      </c>
      <c r="V30" s="58">
        <f aca="true" t="shared" si="33" ref="V30:W33">V45-V15</f>
        <v>-882</v>
      </c>
      <c r="W30" s="58">
        <f t="shared" si="33"/>
        <v>-173</v>
      </c>
      <c r="X30" s="67">
        <v>0</v>
      </c>
      <c r="Y30" s="66">
        <f t="shared" si="29"/>
        <v>0</v>
      </c>
      <c r="Z30" s="66">
        <f t="shared" si="29"/>
        <v>0</v>
      </c>
      <c r="AA30" s="66">
        <f t="shared" si="29"/>
        <v>0</v>
      </c>
      <c r="AB30" s="66">
        <f t="shared" si="30"/>
        <v>0</v>
      </c>
      <c r="AC30" s="66">
        <f t="shared" si="30"/>
        <v>0</v>
      </c>
      <c r="AD30" s="66">
        <f t="shared" si="30"/>
        <v>0</v>
      </c>
      <c r="AE30" s="66">
        <f t="shared" si="30"/>
        <v>0</v>
      </c>
      <c r="AF30" s="66">
        <f t="shared" si="30"/>
        <v>0</v>
      </c>
      <c r="AG30" s="66">
        <f t="shared" si="30"/>
        <v>0</v>
      </c>
      <c r="AH30" s="66">
        <f t="shared" si="30"/>
        <v>0</v>
      </c>
      <c r="AI30" s="66">
        <f t="shared" si="8"/>
        <v>0</v>
      </c>
      <c r="AJ30" s="66">
        <f t="shared" si="8"/>
        <v>0</v>
      </c>
      <c r="AK30" s="66">
        <f t="shared" si="8"/>
        <v>0</v>
      </c>
      <c r="AL30" s="66">
        <f t="shared" si="8"/>
        <v>0</v>
      </c>
      <c r="AM30" s="66">
        <f t="shared" si="8"/>
        <v>0</v>
      </c>
      <c r="AN30" s="66">
        <f t="shared" si="8"/>
        <v>0</v>
      </c>
      <c r="AO30" s="66">
        <f t="shared" si="8"/>
        <v>0</v>
      </c>
      <c r="AP30" s="66">
        <f t="shared" si="9"/>
        <v>0</v>
      </c>
      <c r="AQ30" s="66">
        <f t="shared" si="9"/>
        <v>0</v>
      </c>
      <c r="AR30" s="66">
        <f t="shared" si="10"/>
        <v>0</v>
      </c>
      <c r="AS30" s="66">
        <f t="shared" si="10"/>
        <v>0</v>
      </c>
      <c r="AT30" s="65">
        <f t="shared" si="17"/>
        <v>0</v>
      </c>
      <c r="AU30" s="67">
        <v>0</v>
      </c>
      <c r="AV30" s="67">
        <f t="shared" si="18"/>
        <v>0</v>
      </c>
      <c r="AW30" s="67">
        <f t="shared" si="18"/>
        <v>0</v>
      </c>
      <c r="AX30" s="67">
        <f>AX45-AX15</f>
        <v>0</v>
      </c>
      <c r="AY30" s="67">
        <f t="shared" si="20"/>
        <v>0</v>
      </c>
      <c r="AZ30" s="65">
        <f t="shared" si="20"/>
        <v>0</v>
      </c>
      <c r="BA30" s="65">
        <f>BA45-BA15</f>
        <v>0</v>
      </c>
      <c r="BB30" s="65">
        <f t="shared" si="12"/>
        <v>0</v>
      </c>
      <c r="BC30" s="65">
        <f t="shared" si="12"/>
        <v>0</v>
      </c>
      <c r="BD30" s="65">
        <f t="shared" si="31"/>
        <v>0</v>
      </c>
      <c r="BE30" s="67">
        <f t="shared" si="14"/>
        <v>0</v>
      </c>
      <c r="BF30" s="65">
        <f t="shared" si="14"/>
        <v>0</v>
      </c>
    </row>
    <row r="31" spans="1:58" ht="12.75">
      <c r="A31" s="2" t="s">
        <v>108</v>
      </c>
      <c r="C31" s="2"/>
      <c r="D31" s="65">
        <f aca="true" t="shared" si="34" ref="D31:N31">D46-D16</f>
        <v>-22.3938</v>
      </c>
      <c r="E31" s="65">
        <f t="shared" si="34"/>
        <v>0</v>
      </c>
      <c r="F31" s="65">
        <f t="shared" si="34"/>
        <v>0</v>
      </c>
      <c r="G31" s="65">
        <f t="shared" si="34"/>
        <v>0</v>
      </c>
      <c r="H31" s="65">
        <f t="shared" si="34"/>
        <v>0</v>
      </c>
      <c r="I31" s="65">
        <f t="shared" si="34"/>
        <v>0</v>
      </c>
      <c r="J31" s="65">
        <f t="shared" si="34"/>
        <v>-121</v>
      </c>
      <c r="K31" s="65">
        <f t="shared" si="34"/>
        <v>-150</v>
      </c>
      <c r="L31" s="67">
        <f t="shared" si="34"/>
        <v>-152</v>
      </c>
      <c r="M31" s="65">
        <f t="shared" si="34"/>
        <v>-160</v>
      </c>
      <c r="N31" s="65">
        <f t="shared" si="34"/>
        <v>-174</v>
      </c>
      <c r="O31" s="65">
        <v>-156</v>
      </c>
      <c r="P31" s="67">
        <v>-136</v>
      </c>
      <c r="Q31" s="67">
        <v>-149</v>
      </c>
      <c r="R31" s="67">
        <v>-135</v>
      </c>
      <c r="S31" s="67">
        <v>-135</v>
      </c>
      <c r="T31" s="58">
        <v>-128</v>
      </c>
      <c r="U31" s="58">
        <v>-160</v>
      </c>
      <c r="V31" s="58">
        <f t="shared" si="33"/>
        <v>-126</v>
      </c>
      <c r="W31" s="58">
        <f t="shared" si="33"/>
        <v>-124</v>
      </c>
      <c r="X31" s="66">
        <f aca="true" t="shared" si="35" ref="X31:AA33">X46-X16</f>
        <v>-150</v>
      </c>
      <c r="Y31" s="66">
        <f t="shared" si="35"/>
        <v>-151</v>
      </c>
      <c r="Z31" s="66">
        <f t="shared" si="35"/>
        <v>-139</v>
      </c>
      <c r="AA31" s="66">
        <f t="shared" si="35"/>
        <v>-127</v>
      </c>
      <c r="AB31" s="66">
        <f t="shared" si="30"/>
        <v>-126</v>
      </c>
      <c r="AC31" s="66">
        <f t="shared" si="30"/>
        <v>-144</v>
      </c>
      <c r="AD31" s="66">
        <f t="shared" si="30"/>
        <v>-35</v>
      </c>
      <c r="AE31" s="66">
        <f t="shared" si="30"/>
        <v>0</v>
      </c>
      <c r="AF31" s="66">
        <f t="shared" si="30"/>
        <v>0</v>
      </c>
      <c r="AG31" s="66">
        <f t="shared" si="30"/>
        <v>0</v>
      </c>
      <c r="AH31" s="66">
        <f t="shared" si="30"/>
        <v>0</v>
      </c>
      <c r="AI31" s="66">
        <f t="shared" si="8"/>
        <v>0</v>
      </c>
      <c r="AJ31" s="66">
        <f t="shared" si="8"/>
        <v>0</v>
      </c>
      <c r="AK31" s="66">
        <f t="shared" si="8"/>
        <v>0</v>
      </c>
      <c r="AL31" s="66">
        <f t="shared" si="8"/>
        <v>0</v>
      </c>
      <c r="AM31" s="66">
        <f t="shared" si="8"/>
        <v>0</v>
      </c>
      <c r="AN31" s="66">
        <f t="shared" si="8"/>
        <v>0</v>
      </c>
      <c r="AO31" s="66">
        <f t="shared" si="8"/>
        <v>0</v>
      </c>
      <c r="AP31" s="66">
        <f t="shared" si="9"/>
        <v>0</v>
      </c>
      <c r="AQ31" s="66">
        <f t="shared" si="9"/>
        <v>0</v>
      </c>
      <c r="AR31" s="66">
        <f t="shared" si="10"/>
        <v>0</v>
      </c>
      <c r="AS31" s="66">
        <f t="shared" si="10"/>
        <v>0</v>
      </c>
      <c r="AT31" s="65">
        <f t="shared" si="17"/>
        <v>0</v>
      </c>
      <c r="AU31" s="67">
        <v>0</v>
      </c>
      <c r="AV31" s="67">
        <f t="shared" si="18"/>
        <v>0</v>
      </c>
      <c r="AW31" s="67">
        <f t="shared" si="18"/>
        <v>0</v>
      </c>
      <c r="AX31" s="67">
        <f>AX46-AX16</f>
        <v>0</v>
      </c>
      <c r="AY31" s="67">
        <f t="shared" si="20"/>
        <v>0</v>
      </c>
      <c r="AZ31" s="65">
        <f t="shared" si="20"/>
        <v>0</v>
      </c>
      <c r="BA31" s="65">
        <f>BA46-BA16</f>
        <v>0</v>
      </c>
      <c r="BB31" s="65">
        <f t="shared" si="12"/>
        <v>0</v>
      </c>
      <c r="BC31" s="65">
        <f t="shared" si="12"/>
        <v>0</v>
      </c>
      <c r="BD31" s="65">
        <f t="shared" si="31"/>
        <v>0</v>
      </c>
      <c r="BE31" s="67">
        <f t="shared" si="14"/>
        <v>0</v>
      </c>
      <c r="BF31" s="65">
        <f t="shared" si="14"/>
        <v>0</v>
      </c>
    </row>
    <row r="32" spans="1:58" ht="12.75">
      <c r="A32" s="6" t="s">
        <v>107</v>
      </c>
      <c r="C32" s="2"/>
      <c r="D32" s="65">
        <f aca="true" t="shared" si="36" ref="D32:N32">D47-D17</f>
        <v>-37.8972</v>
      </c>
      <c r="E32" s="65">
        <f t="shared" si="36"/>
        <v>0</v>
      </c>
      <c r="F32" s="65">
        <f t="shared" si="36"/>
        <v>0</v>
      </c>
      <c r="G32" s="65">
        <f t="shared" si="36"/>
        <v>0</v>
      </c>
      <c r="H32" s="65">
        <f t="shared" si="36"/>
        <v>0</v>
      </c>
      <c r="I32" s="65">
        <f t="shared" si="36"/>
        <v>0</v>
      </c>
      <c r="J32" s="65">
        <f t="shared" si="36"/>
        <v>-493</v>
      </c>
      <c r="K32" s="65">
        <f t="shared" si="36"/>
        <v>-620</v>
      </c>
      <c r="L32" s="65">
        <f t="shared" si="36"/>
        <v>-584</v>
      </c>
      <c r="M32" s="65">
        <f t="shared" si="36"/>
        <v>-664</v>
      </c>
      <c r="N32" s="65">
        <f t="shared" si="36"/>
        <v>-723</v>
      </c>
      <c r="O32" s="65">
        <v>-643</v>
      </c>
      <c r="P32" s="67">
        <v>-611</v>
      </c>
      <c r="Q32" s="67">
        <v>-646</v>
      </c>
      <c r="R32" s="67">
        <v>-748</v>
      </c>
      <c r="S32" s="67">
        <v>-548</v>
      </c>
      <c r="T32" s="58">
        <v>-569</v>
      </c>
      <c r="U32" s="58">
        <v>-732</v>
      </c>
      <c r="V32" s="58">
        <f t="shared" si="33"/>
        <v>-599</v>
      </c>
      <c r="W32" s="58">
        <f t="shared" si="33"/>
        <v>-578</v>
      </c>
      <c r="X32" s="66">
        <f t="shared" si="35"/>
        <v>-580</v>
      </c>
      <c r="Y32" s="66">
        <f t="shared" si="35"/>
        <v>-782</v>
      </c>
      <c r="Z32" s="66">
        <f t="shared" si="35"/>
        <v>-648</v>
      </c>
      <c r="AA32" s="66">
        <f t="shared" si="35"/>
        <v>-761</v>
      </c>
      <c r="AB32" s="66">
        <f t="shared" si="30"/>
        <v>-557</v>
      </c>
      <c r="AC32" s="66">
        <f t="shared" si="30"/>
        <v>-756</v>
      </c>
      <c r="AD32" s="66">
        <f t="shared" si="30"/>
        <v>-192</v>
      </c>
      <c r="AE32" s="66">
        <f t="shared" si="30"/>
        <v>0</v>
      </c>
      <c r="AF32" s="66">
        <f t="shared" si="30"/>
        <v>0</v>
      </c>
      <c r="AG32" s="66">
        <f t="shared" si="30"/>
        <v>0</v>
      </c>
      <c r="AH32" s="66">
        <f t="shared" si="30"/>
        <v>0</v>
      </c>
      <c r="AI32" s="66">
        <f t="shared" si="8"/>
        <v>0</v>
      </c>
      <c r="AJ32" s="66">
        <f t="shared" si="8"/>
        <v>0</v>
      </c>
      <c r="AK32" s="66">
        <f t="shared" si="8"/>
        <v>0</v>
      </c>
      <c r="AL32" s="66">
        <f t="shared" si="8"/>
        <v>0</v>
      </c>
      <c r="AM32" s="66">
        <f t="shared" si="8"/>
        <v>0</v>
      </c>
      <c r="AN32" s="66">
        <f t="shared" si="8"/>
        <v>0</v>
      </c>
      <c r="AO32" s="66">
        <f t="shared" si="8"/>
        <v>0</v>
      </c>
      <c r="AP32" s="66">
        <f t="shared" si="9"/>
        <v>0</v>
      </c>
      <c r="AQ32" s="66">
        <f t="shared" si="9"/>
        <v>0</v>
      </c>
      <c r="AR32" s="66">
        <f t="shared" si="10"/>
        <v>0</v>
      </c>
      <c r="AS32" s="66">
        <f t="shared" si="10"/>
        <v>0</v>
      </c>
      <c r="AT32" s="65">
        <f t="shared" si="17"/>
        <v>0</v>
      </c>
      <c r="AU32" s="67">
        <v>0</v>
      </c>
      <c r="AV32" s="67">
        <f t="shared" si="18"/>
        <v>0</v>
      </c>
      <c r="AW32" s="67">
        <f t="shared" si="18"/>
        <v>0</v>
      </c>
      <c r="AX32" s="67">
        <f>AX47-AX17</f>
        <v>0</v>
      </c>
      <c r="AY32" s="67">
        <f t="shared" si="20"/>
        <v>0</v>
      </c>
      <c r="AZ32" s="65">
        <f t="shared" si="20"/>
        <v>0</v>
      </c>
      <c r="BA32" s="65">
        <f>BA47-BA17</f>
        <v>0</v>
      </c>
      <c r="BB32" s="65">
        <f t="shared" si="12"/>
        <v>0</v>
      </c>
      <c r="BC32" s="65">
        <f t="shared" si="12"/>
        <v>0</v>
      </c>
      <c r="BD32" s="65">
        <f t="shared" si="31"/>
        <v>0</v>
      </c>
      <c r="BE32" s="67">
        <f t="shared" si="14"/>
        <v>0</v>
      </c>
      <c r="BF32" s="65">
        <f t="shared" si="14"/>
        <v>0</v>
      </c>
    </row>
    <row r="33" spans="1:58" ht="12.75">
      <c r="A33" s="2" t="s">
        <v>109</v>
      </c>
      <c r="C33" s="2"/>
      <c r="D33" s="65">
        <f aca="true" t="shared" si="37" ref="D33:N33">D48-D18</f>
        <v>-29.878152</v>
      </c>
      <c r="E33" s="65">
        <f t="shared" si="37"/>
        <v>0</v>
      </c>
      <c r="F33" s="65">
        <f t="shared" si="37"/>
        <v>0</v>
      </c>
      <c r="G33" s="65">
        <f t="shared" si="37"/>
        <v>0</v>
      </c>
      <c r="H33" s="65">
        <f t="shared" si="37"/>
        <v>0</v>
      </c>
      <c r="I33" s="65">
        <f t="shared" si="37"/>
        <v>-1</v>
      </c>
      <c r="J33" s="65">
        <f t="shared" si="37"/>
        <v>-68</v>
      </c>
      <c r="K33" s="65">
        <f t="shared" si="37"/>
        <v>-122</v>
      </c>
      <c r="L33" s="65">
        <f t="shared" si="37"/>
        <v>-117</v>
      </c>
      <c r="M33" s="65">
        <f t="shared" si="37"/>
        <v>-121</v>
      </c>
      <c r="N33" s="65">
        <f t="shared" si="37"/>
        <v>-216</v>
      </c>
      <c r="O33" s="65">
        <v>-92</v>
      </c>
      <c r="P33" s="67">
        <v>-90</v>
      </c>
      <c r="Q33" s="67">
        <v>-92</v>
      </c>
      <c r="R33" s="67">
        <v>-98</v>
      </c>
      <c r="S33" s="67">
        <v>-87</v>
      </c>
      <c r="T33" s="58">
        <v>-97</v>
      </c>
      <c r="U33" s="58">
        <v>-102</v>
      </c>
      <c r="V33" s="58">
        <f t="shared" si="33"/>
        <v>-102</v>
      </c>
      <c r="W33" s="58">
        <f t="shared" si="33"/>
        <v>-87</v>
      </c>
      <c r="X33" s="66">
        <f t="shared" si="35"/>
        <v>-116</v>
      </c>
      <c r="Y33" s="66">
        <f t="shared" si="35"/>
        <v>-97</v>
      </c>
      <c r="Z33" s="66">
        <f t="shared" si="35"/>
        <v>-97</v>
      </c>
      <c r="AA33" s="66">
        <f t="shared" si="35"/>
        <v>-95</v>
      </c>
      <c r="AB33" s="66">
        <f t="shared" si="30"/>
        <v>-92</v>
      </c>
      <c r="AC33" s="66">
        <f t="shared" si="30"/>
        <v>-86</v>
      </c>
      <c r="AD33" s="66">
        <f t="shared" si="30"/>
        <v>-19</v>
      </c>
      <c r="AE33" s="66">
        <f t="shared" si="30"/>
        <v>0</v>
      </c>
      <c r="AF33" s="66">
        <f t="shared" si="30"/>
        <v>0</v>
      </c>
      <c r="AG33" s="66">
        <f t="shared" si="30"/>
        <v>0</v>
      </c>
      <c r="AH33" s="66">
        <f t="shared" si="30"/>
        <v>0</v>
      </c>
      <c r="AI33" s="66">
        <f t="shared" si="8"/>
        <v>0</v>
      </c>
      <c r="AJ33" s="66">
        <f t="shared" si="8"/>
        <v>0</v>
      </c>
      <c r="AK33" s="66">
        <f t="shared" si="8"/>
        <v>0</v>
      </c>
      <c r="AL33" s="66">
        <f t="shared" si="8"/>
        <v>0</v>
      </c>
      <c r="AM33" s="66">
        <f t="shared" si="8"/>
        <v>0</v>
      </c>
      <c r="AN33" s="66">
        <f t="shared" si="8"/>
        <v>0</v>
      </c>
      <c r="AO33" s="66">
        <f t="shared" si="8"/>
        <v>0</v>
      </c>
      <c r="AP33" s="66">
        <f t="shared" si="9"/>
        <v>0</v>
      </c>
      <c r="AQ33" s="66">
        <f t="shared" si="9"/>
        <v>0</v>
      </c>
      <c r="AR33" s="66">
        <f t="shared" si="10"/>
        <v>0</v>
      </c>
      <c r="AS33" s="66">
        <f t="shared" si="10"/>
        <v>0</v>
      </c>
      <c r="AT33" s="65">
        <f t="shared" si="17"/>
        <v>0</v>
      </c>
      <c r="AU33" s="67">
        <v>0</v>
      </c>
      <c r="AV33" s="67">
        <f t="shared" si="18"/>
        <v>0</v>
      </c>
      <c r="AW33" s="67">
        <f t="shared" si="18"/>
        <v>0</v>
      </c>
      <c r="AX33" s="67">
        <f>AX48-AX18</f>
        <v>0</v>
      </c>
      <c r="AY33" s="67">
        <f t="shared" si="20"/>
        <v>0</v>
      </c>
      <c r="AZ33" s="65">
        <f t="shared" si="20"/>
        <v>0</v>
      </c>
      <c r="BA33" s="65">
        <f>BA48-BA18</f>
        <v>0</v>
      </c>
      <c r="BB33" s="65">
        <f t="shared" si="12"/>
        <v>0</v>
      </c>
      <c r="BC33" s="65">
        <f t="shared" si="12"/>
        <v>0</v>
      </c>
      <c r="BD33" s="65">
        <f t="shared" si="31"/>
        <v>0</v>
      </c>
      <c r="BE33" s="67">
        <f t="shared" si="14"/>
        <v>0</v>
      </c>
      <c r="BF33" s="65">
        <f t="shared" si="14"/>
        <v>0</v>
      </c>
    </row>
    <row r="34" spans="1:58" ht="12.75">
      <c r="A34" s="2" t="s">
        <v>31</v>
      </c>
      <c r="C34" s="2"/>
      <c r="D34" s="65">
        <f aca="true" t="shared" si="38" ref="D34:L34">D49-D19</f>
        <v>0</v>
      </c>
      <c r="E34" s="65">
        <f t="shared" si="38"/>
        <v>-13</v>
      </c>
      <c r="F34" s="65">
        <f t="shared" si="38"/>
        <v>12</v>
      </c>
      <c r="G34" s="65">
        <f t="shared" si="38"/>
        <v>0</v>
      </c>
      <c r="H34" s="65">
        <f t="shared" si="38"/>
        <v>0</v>
      </c>
      <c r="I34" s="65">
        <f t="shared" si="38"/>
        <v>0</v>
      </c>
      <c r="J34" s="65">
        <f t="shared" si="38"/>
        <v>1</v>
      </c>
      <c r="K34" s="65">
        <f t="shared" si="38"/>
        <v>0</v>
      </c>
      <c r="L34" s="65">
        <f t="shared" si="38"/>
        <v>0</v>
      </c>
      <c r="M34" s="65">
        <v>0</v>
      </c>
      <c r="N34" s="65">
        <f>N49-N19</f>
        <v>0</v>
      </c>
      <c r="O34" s="65">
        <v>0</v>
      </c>
      <c r="P34" s="67">
        <v>0</v>
      </c>
      <c r="Q34" s="67">
        <v>0</v>
      </c>
      <c r="R34" s="65">
        <v>0</v>
      </c>
      <c r="S34" s="58">
        <v>0</v>
      </c>
      <c r="T34" s="58">
        <v>0</v>
      </c>
      <c r="U34" s="58">
        <v>0</v>
      </c>
      <c r="V34" s="58"/>
      <c r="W34" s="58">
        <v>0</v>
      </c>
      <c r="X34" s="66">
        <v>0</v>
      </c>
      <c r="Y34" s="66">
        <v>0</v>
      </c>
      <c r="Z34" s="66">
        <v>0</v>
      </c>
      <c r="AA34" s="66">
        <v>0</v>
      </c>
      <c r="AB34" s="66">
        <v>0</v>
      </c>
      <c r="AC34" s="66">
        <v>0</v>
      </c>
      <c r="AD34" s="66">
        <v>0</v>
      </c>
      <c r="AE34" s="66">
        <v>0</v>
      </c>
      <c r="AF34" s="66">
        <v>0</v>
      </c>
      <c r="AG34" s="66">
        <v>0</v>
      </c>
      <c r="AH34" s="66">
        <v>0</v>
      </c>
      <c r="AI34" s="66">
        <v>0</v>
      </c>
      <c r="AJ34" s="66">
        <v>0</v>
      </c>
      <c r="AK34" s="66">
        <f>AK49-AK19</f>
        <v>0</v>
      </c>
      <c r="AL34" s="66">
        <f>AL49-AL19</f>
        <v>0</v>
      </c>
      <c r="AM34" s="66">
        <f>AM49-AM19</f>
        <v>0</v>
      </c>
      <c r="AN34" s="66">
        <f>AN49-AN19</f>
        <v>0</v>
      </c>
      <c r="AO34" s="66">
        <f>AO49-AO19</f>
        <v>0</v>
      </c>
      <c r="AP34" s="66">
        <f t="shared" si="9"/>
        <v>0</v>
      </c>
      <c r="AQ34" s="66">
        <f t="shared" si="9"/>
        <v>0</v>
      </c>
      <c r="AR34" s="66">
        <f t="shared" si="10"/>
        <v>0</v>
      </c>
      <c r="AS34" s="66">
        <f t="shared" si="10"/>
        <v>0</v>
      </c>
      <c r="AT34" s="65">
        <f t="shared" si="17"/>
        <v>0</v>
      </c>
      <c r="AU34" s="67">
        <v>0</v>
      </c>
      <c r="AV34" s="67">
        <f t="shared" si="18"/>
        <v>0</v>
      </c>
      <c r="AW34" s="67">
        <f t="shared" si="18"/>
        <v>0</v>
      </c>
      <c r="AX34" s="67">
        <f>AX49-AX19</f>
        <v>0</v>
      </c>
      <c r="AY34" s="67">
        <f t="shared" si="20"/>
        <v>0</v>
      </c>
      <c r="AZ34" s="65">
        <f t="shared" si="20"/>
        <v>0</v>
      </c>
      <c r="BA34" s="65">
        <f>BA49-BA19</f>
        <v>0</v>
      </c>
      <c r="BB34" s="65">
        <f t="shared" si="12"/>
        <v>0</v>
      </c>
      <c r="BC34" s="65">
        <f t="shared" si="12"/>
        <v>0</v>
      </c>
      <c r="BD34" s="65">
        <f t="shared" si="31"/>
        <v>0</v>
      </c>
      <c r="BE34" s="67">
        <f t="shared" si="14"/>
        <v>0</v>
      </c>
      <c r="BF34" s="65">
        <f t="shared" si="14"/>
        <v>0</v>
      </c>
    </row>
    <row r="35" spans="1:58" ht="13.5" thickBot="1">
      <c r="A35" s="2" t="s">
        <v>29</v>
      </c>
      <c r="C35" s="2"/>
      <c r="D35" s="59">
        <f>SUM(D23:D34)</f>
        <v>7444.911247999999</v>
      </c>
      <c r="E35" s="59">
        <f>SUM(E23:E34)</f>
        <v>-2038</v>
      </c>
      <c r="F35" s="59">
        <f aca="true" t="shared" si="39" ref="F35:S35">SUM(F23:F34)</f>
        <v>-2112</v>
      </c>
      <c r="G35" s="59">
        <f t="shared" si="39"/>
        <v>-2022</v>
      </c>
      <c r="H35" s="59">
        <f t="shared" si="39"/>
        <v>-2376</v>
      </c>
      <c r="I35" s="59">
        <f t="shared" si="39"/>
        <v>-3407</v>
      </c>
      <c r="J35" s="59">
        <f t="shared" si="39"/>
        <v>-6021</v>
      </c>
      <c r="K35" s="59">
        <f t="shared" si="39"/>
        <v>-6356</v>
      </c>
      <c r="L35" s="59">
        <f t="shared" si="39"/>
        <v>-6815</v>
      </c>
      <c r="M35" s="59">
        <f t="shared" si="39"/>
        <v>-6495</v>
      </c>
      <c r="N35" s="59">
        <f t="shared" si="39"/>
        <v>-6329</v>
      </c>
      <c r="O35" s="59">
        <f t="shared" si="39"/>
        <v>-5294</v>
      </c>
      <c r="P35" s="59">
        <f t="shared" si="39"/>
        <v>-5600</v>
      </c>
      <c r="Q35" s="59">
        <f t="shared" si="39"/>
        <v>-5719</v>
      </c>
      <c r="R35" s="59">
        <f t="shared" si="39"/>
        <v>-6147</v>
      </c>
      <c r="S35" s="59">
        <f t="shared" si="39"/>
        <v>-6164</v>
      </c>
      <c r="T35" s="59">
        <f aca="true" t="shared" si="40" ref="T35:AA35">+SUM(T23:T34)</f>
        <v>-6524</v>
      </c>
      <c r="U35" s="59">
        <f t="shared" si="40"/>
        <v>-6061</v>
      </c>
      <c r="V35" s="59">
        <f t="shared" si="40"/>
        <v>-6035</v>
      </c>
      <c r="W35" s="59">
        <f t="shared" si="40"/>
        <v>-5779</v>
      </c>
      <c r="X35" s="126">
        <f t="shared" si="40"/>
        <v>-5684</v>
      </c>
      <c r="Y35" s="126">
        <f t="shared" si="40"/>
        <v>-6052</v>
      </c>
      <c r="Z35" s="126">
        <f t="shared" si="40"/>
        <v>-6028</v>
      </c>
      <c r="AA35" s="126">
        <f t="shared" si="40"/>
        <v>-6114</v>
      </c>
      <c r="AB35" s="126">
        <f aca="true" t="shared" si="41" ref="AB35:AG35">+SUM(AB23:AB34)</f>
        <v>-9104</v>
      </c>
      <c r="AC35" s="126">
        <f t="shared" si="41"/>
        <v>-9099</v>
      </c>
      <c r="AD35" s="126">
        <f t="shared" si="41"/>
        <v>-6758</v>
      </c>
      <c r="AE35" s="126">
        <f t="shared" si="41"/>
        <v>-6670</v>
      </c>
      <c r="AF35" s="126">
        <f t="shared" si="41"/>
        <v>-6903</v>
      </c>
      <c r="AG35" s="126">
        <f t="shared" si="41"/>
        <v>-6930</v>
      </c>
      <c r="AH35" s="126">
        <f aca="true" t="shared" si="42" ref="AH35:AM35">+SUM(AH23:AH34)</f>
        <v>-6643</v>
      </c>
      <c r="AI35" s="126">
        <f t="shared" si="42"/>
        <v>-6896</v>
      </c>
      <c r="AJ35" s="126">
        <f t="shared" si="42"/>
        <v>-6722</v>
      </c>
      <c r="AK35" s="126">
        <f t="shared" si="42"/>
        <v>-8023</v>
      </c>
      <c r="AL35" s="126">
        <f t="shared" si="42"/>
        <v>-10015</v>
      </c>
      <c r="AM35" s="126">
        <f t="shared" si="42"/>
        <v>-10098</v>
      </c>
      <c r="AN35" s="126">
        <f aca="true" t="shared" si="43" ref="AN35:AV35">+SUM(AN23:AN34)</f>
        <v>-10373</v>
      </c>
      <c r="AO35" s="179">
        <f t="shared" si="43"/>
        <v>-9833</v>
      </c>
      <c r="AP35" s="179">
        <f t="shared" si="43"/>
        <v>-10245</v>
      </c>
      <c r="AQ35" s="179">
        <f t="shared" si="43"/>
        <v>-10158</v>
      </c>
      <c r="AR35" s="179">
        <f t="shared" si="43"/>
        <v>-10439</v>
      </c>
      <c r="AS35" s="179">
        <f t="shared" si="43"/>
        <v>-10041</v>
      </c>
      <c r="AT35" s="179">
        <f t="shared" si="43"/>
        <v>-10467</v>
      </c>
      <c r="AU35" s="179">
        <f t="shared" si="43"/>
        <v>-10220</v>
      </c>
      <c r="AV35" s="179">
        <f t="shared" si="43"/>
        <v>-10450</v>
      </c>
      <c r="AW35" s="179">
        <f aca="true" t="shared" si="44" ref="AW35:BB35">+SUM(AW23:AW34)</f>
        <v>-11571</v>
      </c>
      <c r="AX35" s="179">
        <f t="shared" si="44"/>
        <v>-10463</v>
      </c>
      <c r="AY35" s="179">
        <f t="shared" si="44"/>
        <v>-10582</v>
      </c>
      <c r="AZ35" s="179">
        <f t="shared" si="44"/>
        <v>-12123</v>
      </c>
      <c r="BA35" s="179">
        <f t="shared" si="44"/>
        <v>-10866</v>
      </c>
      <c r="BB35" s="179">
        <f t="shared" si="44"/>
        <v>-10424</v>
      </c>
      <c r="BC35" s="179">
        <f>+SUM(BC23:BC34)</f>
        <v>-10315</v>
      </c>
      <c r="BD35" s="179">
        <f>+SUM(BD23:BD34)</f>
        <v>-10462</v>
      </c>
      <c r="BE35" s="179">
        <f>+SUM(BE23:BE34)</f>
        <v>-11170</v>
      </c>
      <c r="BF35" s="179">
        <f>+SUM(BF23:BF34)</f>
        <v>-11065</v>
      </c>
    </row>
    <row r="36" spans="1:57" s="19" customFormat="1" ht="12.75">
      <c r="A36" s="52"/>
      <c r="B36" s="52"/>
      <c r="C36" s="52"/>
      <c r="D36" s="122"/>
      <c r="E36" s="122"/>
      <c r="F36" s="122"/>
      <c r="G36" s="122"/>
      <c r="H36" s="122"/>
      <c r="I36" s="122"/>
      <c r="J36" s="122"/>
      <c r="K36" s="122"/>
      <c r="L36" s="65"/>
      <c r="M36" s="65"/>
      <c r="N36" s="122"/>
      <c r="O36" s="65"/>
      <c r="P36" s="65"/>
      <c r="Q36" s="65"/>
      <c r="R36" s="65"/>
      <c r="S36" s="65"/>
      <c r="T36" s="65"/>
      <c r="U36" s="65"/>
      <c r="V36" s="65"/>
      <c r="BE36" s="6"/>
    </row>
    <row r="37" spans="1:57" ht="12.75">
      <c r="A37" s="16" t="s">
        <v>2</v>
      </c>
      <c r="C37" s="125"/>
      <c r="D37" s="17"/>
      <c r="E37" s="17"/>
      <c r="F37" s="17"/>
      <c r="G37" s="17"/>
      <c r="H37" s="17"/>
      <c r="I37" s="17"/>
      <c r="J37" s="17"/>
      <c r="K37" s="17"/>
      <c r="L37" s="67"/>
      <c r="M37" s="67"/>
      <c r="N37" s="67"/>
      <c r="O37" s="65"/>
      <c r="P37" s="67"/>
      <c r="Q37" s="67"/>
      <c r="R37" s="67"/>
      <c r="S37" s="67"/>
      <c r="T37" s="58"/>
      <c r="U37" s="58"/>
      <c r="V37" s="58"/>
      <c r="X37" s="19"/>
      <c r="AS37" s="19"/>
      <c r="AT37" s="19"/>
      <c r="BA37" s="19"/>
      <c r="BC37" s="152"/>
      <c r="BE37" s="6"/>
    </row>
    <row r="38" spans="1:58" ht="12.75">
      <c r="A38" s="2" t="s">
        <v>357</v>
      </c>
      <c r="C38" s="16"/>
      <c r="D38" s="65">
        <v>4347</v>
      </c>
      <c r="E38" s="65">
        <v>4257</v>
      </c>
      <c r="F38" s="65">
        <v>4254</v>
      </c>
      <c r="G38" s="65">
        <v>4256</v>
      </c>
      <c r="H38" s="65">
        <v>4255</v>
      </c>
      <c r="I38" s="65">
        <v>4256</v>
      </c>
      <c r="J38" s="65">
        <v>4192</v>
      </c>
      <c r="K38" s="65">
        <v>4246</v>
      </c>
      <c r="L38" s="65">
        <v>4247</v>
      </c>
      <c r="M38" s="65">
        <v>4247</v>
      </c>
      <c r="N38" s="65">
        <v>4259</v>
      </c>
      <c r="O38" s="65">
        <f aca="true" t="shared" si="45" ref="O38:U43">O8+O23</f>
        <v>4247</v>
      </c>
      <c r="P38" s="67">
        <f t="shared" si="45"/>
        <v>4246</v>
      </c>
      <c r="Q38" s="67">
        <f t="shared" si="45"/>
        <v>4244</v>
      </c>
      <c r="R38" s="67">
        <f t="shared" si="45"/>
        <v>4235</v>
      </c>
      <c r="S38" s="67">
        <f t="shared" si="45"/>
        <v>4231</v>
      </c>
      <c r="T38" s="58">
        <f t="shared" si="45"/>
        <v>4237</v>
      </c>
      <c r="U38" s="58">
        <f t="shared" si="45"/>
        <v>4256</v>
      </c>
      <c r="V38" s="58">
        <v>4237</v>
      </c>
      <c r="W38" s="58">
        <v>4240</v>
      </c>
      <c r="X38" s="66">
        <v>4238</v>
      </c>
      <c r="Y38" s="66">
        <v>4252</v>
      </c>
      <c r="Z38" s="151">
        <v>4239</v>
      </c>
      <c r="AA38" s="151">
        <v>4576</v>
      </c>
      <c r="AB38" s="151">
        <v>4706</v>
      </c>
      <c r="AC38" s="151">
        <v>3493</v>
      </c>
      <c r="AD38" s="151">
        <v>4136</v>
      </c>
      <c r="AE38" s="152">
        <v>4321</v>
      </c>
      <c r="AF38" s="152">
        <v>4923</v>
      </c>
      <c r="AG38" s="152">
        <v>4428</v>
      </c>
      <c r="AH38" s="152">
        <f>AH8+AH23</f>
        <v>4774</v>
      </c>
      <c r="AI38" s="152">
        <v>4947</v>
      </c>
      <c r="AJ38" s="152">
        <v>5407</v>
      </c>
      <c r="AK38" s="152">
        <v>5179</v>
      </c>
      <c r="AL38" s="152">
        <v>5142</v>
      </c>
      <c r="AM38" s="152">
        <v>5291</v>
      </c>
      <c r="AN38" s="152">
        <v>5186</v>
      </c>
      <c r="AO38" s="152">
        <v>5257</v>
      </c>
      <c r="AP38" s="152">
        <v>5022</v>
      </c>
      <c r="AQ38" s="152">
        <v>4796</v>
      </c>
      <c r="AR38" s="152">
        <v>4394</v>
      </c>
      <c r="AS38" s="152">
        <v>4713</v>
      </c>
      <c r="AT38" s="66">
        <v>4614</v>
      </c>
      <c r="AU38" s="66">
        <v>4437</v>
      </c>
      <c r="AV38" s="152">
        <v>4186</v>
      </c>
      <c r="AW38" s="152">
        <v>3874</v>
      </c>
      <c r="AX38" s="152">
        <v>3931</v>
      </c>
      <c r="AY38" s="152">
        <v>3205</v>
      </c>
      <c r="AZ38" s="152">
        <v>3955</v>
      </c>
      <c r="BA38" s="152">
        <v>3335</v>
      </c>
      <c r="BB38" s="152">
        <v>3807</v>
      </c>
      <c r="BC38" s="152">
        <v>4132</v>
      </c>
      <c r="BD38" s="152">
        <v>4250</v>
      </c>
      <c r="BE38" s="151">
        <v>4079</v>
      </c>
      <c r="BF38" s="152">
        <v>5491</v>
      </c>
    </row>
    <row r="39" spans="1:58" ht="12.75">
      <c r="A39" s="2" t="s">
        <v>102</v>
      </c>
      <c r="C39" s="16"/>
      <c r="D39" s="65">
        <v>0</v>
      </c>
      <c r="E39" s="65">
        <v>0</v>
      </c>
      <c r="F39" s="65">
        <v>-59</v>
      </c>
      <c r="G39" s="65">
        <v>50</v>
      </c>
      <c r="H39" s="65">
        <v>646</v>
      </c>
      <c r="I39" s="65">
        <v>1140</v>
      </c>
      <c r="J39" s="65">
        <v>1115</v>
      </c>
      <c r="K39" s="65">
        <v>1252</v>
      </c>
      <c r="L39" s="65">
        <v>1232</v>
      </c>
      <c r="M39" s="65">
        <v>1200</v>
      </c>
      <c r="N39" s="65">
        <v>1283</v>
      </c>
      <c r="O39" s="65">
        <f t="shared" si="45"/>
        <v>1398</v>
      </c>
      <c r="P39" s="67">
        <f t="shared" si="45"/>
        <v>1365</v>
      </c>
      <c r="Q39" s="67">
        <f t="shared" si="45"/>
        <v>1289</v>
      </c>
      <c r="R39" s="67">
        <f t="shared" si="45"/>
        <v>1311</v>
      </c>
      <c r="S39" s="67">
        <f t="shared" si="45"/>
        <v>1269</v>
      </c>
      <c r="T39" s="58">
        <f t="shared" si="45"/>
        <v>1165</v>
      </c>
      <c r="U39" s="58">
        <f t="shared" si="45"/>
        <v>1341</v>
      </c>
      <c r="V39" s="58">
        <v>1074</v>
      </c>
      <c r="W39" s="58">
        <v>1074</v>
      </c>
      <c r="X39" s="66">
        <v>1044</v>
      </c>
      <c r="Y39" s="66">
        <v>910</v>
      </c>
      <c r="Z39" s="151">
        <v>1010</v>
      </c>
      <c r="AA39" s="151">
        <v>1083</v>
      </c>
      <c r="AB39" s="151">
        <v>1035</v>
      </c>
      <c r="AC39" s="151">
        <v>881</v>
      </c>
      <c r="AD39" s="151">
        <v>847</v>
      </c>
      <c r="AE39" s="152">
        <v>908</v>
      </c>
      <c r="AF39" s="152">
        <v>870</v>
      </c>
      <c r="AG39" s="152">
        <v>976</v>
      </c>
      <c r="AH39" s="152">
        <f>AH9+AH24</f>
        <v>928</v>
      </c>
      <c r="AI39" s="152">
        <v>882</v>
      </c>
      <c r="AJ39" s="152">
        <v>933</v>
      </c>
      <c r="AK39" s="152">
        <v>932</v>
      </c>
      <c r="AL39" s="152">
        <v>1067</v>
      </c>
      <c r="AM39" s="152">
        <v>1054</v>
      </c>
      <c r="AN39" s="152">
        <v>1053</v>
      </c>
      <c r="AO39" s="152">
        <v>1084</v>
      </c>
      <c r="AP39" s="152">
        <v>1033</v>
      </c>
      <c r="AQ39" s="152">
        <v>1045</v>
      </c>
      <c r="AR39" s="152">
        <v>1086</v>
      </c>
      <c r="AS39" s="152">
        <v>1038</v>
      </c>
      <c r="AT39" s="66">
        <v>1043</v>
      </c>
      <c r="AU39" s="66">
        <v>1077</v>
      </c>
      <c r="AV39" s="152">
        <v>1077</v>
      </c>
      <c r="AW39" s="152">
        <v>1050</v>
      </c>
      <c r="AX39" s="152">
        <v>922</v>
      </c>
      <c r="AY39" s="152">
        <v>862</v>
      </c>
      <c r="AZ39" s="152">
        <v>871</v>
      </c>
      <c r="BA39" s="152">
        <v>518</v>
      </c>
      <c r="BB39" s="152">
        <v>0</v>
      </c>
      <c r="BC39" s="152">
        <v>0</v>
      </c>
      <c r="BD39" s="152">
        <v>0</v>
      </c>
      <c r="BE39" s="151">
        <v>0</v>
      </c>
      <c r="BF39" s="152">
        <v>0</v>
      </c>
    </row>
    <row r="40" spans="1:58" ht="12.75">
      <c r="A40" s="2" t="s">
        <v>103</v>
      </c>
      <c r="C40" s="125"/>
      <c r="D40" s="65">
        <v>0</v>
      </c>
      <c r="E40" s="65">
        <v>0</v>
      </c>
      <c r="F40" s="65">
        <v>0</v>
      </c>
      <c r="G40" s="65">
        <v>0</v>
      </c>
      <c r="H40" s="65">
        <v>0</v>
      </c>
      <c r="I40" s="65">
        <v>0</v>
      </c>
      <c r="J40" s="65">
        <v>2861</v>
      </c>
      <c r="K40" s="65">
        <v>4341</v>
      </c>
      <c r="L40" s="65">
        <v>4093</v>
      </c>
      <c r="M40" s="65">
        <v>3830</v>
      </c>
      <c r="N40" s="65">
        <v>3647</v>
      </c>
      <c r="O40" s="65">
        <f t="shared" si="45"/>
        <v>3221</v>
      </c>
      <c r="P40" s="67">
        <f t="shared" si="45"/>
        <v>2576</v>
      </c>
      <c r="Q40" s="67">
        <f t="shared" si="45"/>
        <v>2657</v>
      </c>
      <c r="R40" s="67">
        <f t="shared" si="45"/>
        <v>2539</v>
      </c>
      <c r="S40" s="67">
        <f t="shared" si="45"/>
        <v>2409</v>
      </c>
      <c r="T40" s="58">
        <f t="shared" si="45"/>
        <v>2649</v>
      </c>
      <c r="U40" s="58">
        <f t="shared" si="45"/>
        <v>3032</v>
      </c>
      <c r="V40" s="58">
        <v>2796</v>
      </c>
      <c r="W40" s="58">
        <v>2860</v>
      </c>
      <c r="X40" s="66">
        <v>2856</v>
      </c>
      <c r="Y40" s="66">
        <v>2736</v>
      </c>
      <c r="Z40" s="151">
        <v>2776</v>
      </c>
      <c r="AA40" s="151">
        <v>2825</v>
      </c>
      <c r="AB40" s="151">
        <v>2707</v>
      </c>
      <c r="AC40" s="151">
        <v>2638</v>
      </c>
      <c r="AD40" s="151">
        <v>23</v>
      </c>
      <c r="AE40" s="152">
        <v>0</v>
      </c>
      <c r="AF40" s="152">
        <v>0</v>
      </c>
      <c r="AG40" s="152">
        <v>0</v>
      </c>
      <c r="AH40" s="152">
        <v>0</v>
      </c>
      <c r="AI40" s="152">
        <v>0</v>
      </c>
      <c r="AJ40" s="152">
        <v>0</v>
      </c>
      <c r="AK40" s="152">
        <v>0</v>
      </c>
      <c r="AL40" s="152">
        <v>0</v>
      </c>
      <c r="AM40" s="152">
        <v>0</v>
      </c>
      <c r="AN40" s="152">
        <v>0</v>
      </c>
      <c r="AO40" s="152">
        <v>0</v>
      </c>
      <c r="AP40" s="152">
        <v>0</v>
      </c>
      <c r="AQ40" s="152">
        <v>0</v>
      </c>
      <c r="AR40" s="152">
        <v>0</v>
      </c>
      <c r="AS40" s="152">
        <v>0</v>
      </c>
      <c r="AT40" s="66">
        <v>0</v>
      </c>
      <c r="AU40" s="66">
        <v>0</v>
      </c>
      <c r="AV40" s="152">
        <v>0</v>
      </c>
      <c r="AW40" s="152">
        <v>0</v>
      </c>
      <c r="AX40" s="152">
        <v>0</v>
      </c>
      <c r="AY40" s="152">
        <v>0</v>
      </c>
      <c r="AZ40" s="152">
        <v>0</v>
      </c>
      <c r="BA40" s="152">
        <v>0</v>
      </c>
      <c r="BB40" s="152">
        <v>0</v>
      </c>
      <c r="BC40" s="152">
        <v>0</v>
      </c>
      <c r="BD40" s="152">
        <v>0</v>
      </c>
      <c r="BE40" s="151">
        <v>0</v>
      </c>
      <c r="BF40" s="152">
        <v>0</v>
      </c>
    </row>
    <row r="41" spans="1:58" ht="12.75">
      <c r="A41" s="2" t="s">
        <v>104</v>
      </c>
      <c r="C41" s="125"/>
      <c r="D41" s="65">
        <v>0</v>
      </c>
      <c r="E41" s="65">
        <v>0</v>
      </c>
      <c r="F41" s="65">
        <v>0</v>
      </c>
      <c r="G41" s="65">
        <v>0</v>
      </c>
      <c r="H41" s="65">
        <v>0</v>
      </c>
      <c r="I41" s="65">
        <v>0</v>
      </c>
      <c r="J41" s="65">
        <v>0</v>
      </c>
      <c r="K41" s="65">
        <v>0</v>
      </c>
      <c r="L41" s="65">
        <v>0</v>
      </c>
      <c r="M41" s="67">
        <v>0</v>
      </c>
      <c r="N41" s="67">
        <v>0</v>
      </c>
      <c r="O41" s="65">
        <f t="shared" si="45"/>
        <v>0</v>
      </c>
      <c r="P41" s="67">
        <f t="shared" si="45"/>
        <v>0</v>
      </c>
      <c r="Q41" s="67">
        <f t="shared" si="45"/>
        <v>2122</v>
      </c>
      <c r="R41" s="67">
        <f t="shared" si="45"/>
        <v>5325</v>
      </c>
      <c r="S41" s="67">
        <f t="shared" si="45"/>
        <v>5324</v>
      </c>
      <c r="T41" s="58">
        <f t="shared" si="45"/>
        <v>5317</v>
      </c>
      <c r="U41" s="58">
        <f t="shared" si="45"/>
        <v>5349</v>
      </c>
      <c r="V41" s="58">
        <v>5329</v>
      </c>
      <c r="W41" s="58">
        <v>5328</v>
      </c>
      <c r="X41" s="66">
        <v>5329</v>
      </c>
      <c r="Y41" s="66">
        <v>5343</v>
      </c>
      <c r="Z41" s="151">
        <v>5329</v>
      </c>
      <c r="AA41" s="151">
        <v>5329</v>
      </c>
      <c r="AB41" s="151">
        <v>5329</v>
      </c>
      <c r="AC41" s="151">
        <v>5342</v>
      </c>
      <c r="AD41" s="151">
        <v>5329</v>
      </c>
      <c r="AE41" s="152">
        <v>5329</v>
      </c>
      <c r="AF41" s="152">
        <v>5329</v>
      </c>
      <c r="AG41" s="152">
        <v>5341</v>
      </c>
      <c r="AH41" s="152">
        <f>AH11+AH26</f>
        <v>5329</v>
      </c>
      <c r="AI41" s="152">
        <v>5329</v>
      </c>
      <c r="AJ41" s="152">
        <v>5329</v>
      </c>
      <c r="AK41" s="152">
        <v>6610</v>
      </c>
      <c r="AL41" s="152">
        <v>8855</v>
      </c>
      <c r="AM41" s="152">
        <v>8967</v>
      </c>
      <c r="AN41" s="152">
        <v>8974</v>
      </c>
      <c r="AO41" s="152">
        <v>9613</v>
      </c>
      <c r="AP41" s="152">
        <v>10055</v>
      </c>
      <c r="AQ41" s="152">
        <v>9908</v>
      </c>
      <c r="AR41" s="152">
        <v>10064</v>
      </c>
      <c r="AS41" s="152">
        <v>10152</v>
      </c>
      <c r="AT41" s="66">
        <v>10112</v>
      </c>
      <c r="AU41" s="66">
        <v>9731</v>
      </c>
      <c r="AV41" s="152">
        <v>9429</v>
      </c>
      <c r="AW41" s="152">
        <v>9607</v>
      </c>
      <c r="AX41" s="152">
        <v>7618</v>
      </c>
      <c r="AY41" s="152">
        <v>6396</v>
      </c>
      <c r="AZ41" s="152">
        <v>5607</v>
      </c>
      <c r="BA41" s="152">
        <v>6398</v>
      </c>
      <c r="BB41" s="152">
        <v>5755</v>
      </c>
      <c r="BC41" s="152">
        <v>4713</v>
      </c>
      <c r="BD41" s="152">
        <v>4712</v>
      </c>
      <c r="BE41" s="151">
        <v>6379</v>
      </c>
      <c r="BF41" s="152">
        <v>9072</v>
      </c>
    </row>
    <row r="42" spans="1:58" ht="12.75">
      <c r="A42" s="2" t="s">
        <v>105</v>
      </c>
      <c r="C42" s="16"/>
      <c r="D42" s="65">
        <v>4538</v>
      </c>
      <c r="E42" s="65">
        <f>4447-36</f>
        <v>4411</v>
      </c>
      <c r="F42" s="65">
        <v>4783</v>
      </c>
      <c r="G42" s="65">
        <v>5085</v>
      </c>
      <c r="H42" s="65">
        <v>5075</v>
      </c>
      <c r="I42" s="65">
        <v>5634</v>
      </c>
      <c r="J42" s="65">
        <v>6656</v>
      </c>
      <c r="K42" s="65">
        <v>6598</v>
      </c>
      <c r="L42" s="65">
        <v>5587</v>
      </c>
      <c r="M42" s="65">
        <v>5785</v>
      </c>
      <c r="N42" s="65">
        <v>4357</v>
      </c>
      <c r="O42" s="65">
        <f t="shared" si="45"/>
        <v>5218</v>
      </c>
      <c r="P42" s="67">
        <f t="shared" si="45"/>
        <v>4462</v>
      </c>
      <c r="Q42" s="67">
        <f t="shared" si="45"/>
        <v>4943</v>
      </c>
      <c r="R42" s="67">
        <f t="shared" si="45"/>
        <v>5344</v>
      </c>
      <c r="S42" s="67">
        <f t="shared" si="45"/>
        <v>5493</v>
      </c>
      <c r="T42" s="58">
        <f t="shared" si="45"/>
        <v>4707</v>
      </c>
      <c r="U42" s="58">
        <f t="shared" si="45"/>
        <v>5214</v>
      </c>
      <c r="V42" s="58">
        <v>5103</v>
      </c>
      <c r="W42" s="58">
        <v>5783</v>
      </c>
      <c r="X42" s="66">
        <v>6776</v>
      </c>
      <c r="Y42" s="66">
        <v>6609</v>
      </c>
      <c r="Z42" s="151">
        <v>6620</v>
      </c>
      <c r="AA42" s="151">
        <v>6477</v>
      </c>
      <c r="AB42" s="151">
        <v>6184</v>
      </c>
      <c r="AC42" s="151">
        <v>6874</v>
      </c>
      <c r="AD42" s="151">
        <v>6861</v>
      </c>
      <c r="AE42" s="152">
        <v>6889</v>
      </c>
      <c r="AF42" s="152">
        <v>6469</v>
      </c>
      <c r="AG42" s="152">
        <v>6229</v>
      </c>
      <c r="AH42" s="152">
        <f>AH12+AH27</f>
        <v>6065</v>
      </c>
      <c r="AI42" s="152">
        <v>6037</v>
      </c>
      <c r="AJ42" s="152">
        <v>6311</v>
      </c>
      <c r="AK42" s="152">
        <v>6091</v>
      </c>
      <c r="AL42" s="152">
        <v>5601</v>
      </c>
      <c r="AM42" s="152">
        <v>5136</v>
      </c>
      <c r="AN42" s="152">
        <v>4821</v>
      </c>
      <c r="AO42" s="152">
        <v>5031</v>
      </c>
      <c r="AP42" s="152">
        <v>4931</v>
      </c>
      <c r="AQ42" s="152">
        <v>4634</v>
      </c>
      <c r="AR42" s="152">
        <v>4312</v>
      </c>
      <c r="AS42" s="152">
        <v>4693</v>
      </c>
      <c r="AT42" s="66">
        <v>4561</v>
      </c>
      <c r="AU42" s="66">
        <v>5882</v>
      </c>
      <c r="AV42" s="152">
        <v>4459</v>
      </c>
      <c r="AW42" s="152">
        <v>4326</v>
      </c>
      <c r="AX42" s="152">
        <v>3710</v>
      </c>
      <c r="AY42" s="152">
        <v>3547</v>
      </c>
      <c r="AZ42" s="152">
        <v>3246</v>
      </c>
      <c r="BA42" s="152">
        <v>3447</v>
      </c>
      <c r="BB42" s="152">
        <v>3318</v>
      </c>
      <c r="BC42" s="152">
        <v>3211</v>
      </c>
      <c r="BD42" s="152">
        <v>3042</v>
      </c>
      <c r="BE42" s="151">
        <v>3604</v>
      </c>
      <c r="BF42" s="152">
        <v>3573</v>
      </c>
    </row>
    <row r="43" spans="1:58" ht="12.75">
      <c r="A43" s="2" t="s">
        <v>106</v>
      </c>
      <c r="C43" s="16"/>
      <c r="D43" s="65">
        <v>0</v>
      </c>
      <c r="E43" s="65">
        <v>0</v>
      </c>
      <c r="F43" s="65">
        <v>0</v>
      </c>
      <c r="G43" s="65">
        <v>0</v>
      </c>
      <c r="H43" s="65">
        <v>0</v>
      </c>
      <c r="I43" s="65">
        <v>2768</v>
      </c>
      <c r="J43" s="65">
        <v>2349</v>
      </c>
      <c r="K43" s="65">
        <v>2599</v>
      </c>
      <c r="L43" s="65">
        <v>2572</v>
      </c>
      <c r="M43" s="65">
        <v>2554</v>
      </c>
      <c r="N43" s="65">
        <v>1954</v>
      </c>
      <c r="O43" s="65">
        <f t="shared" si="45"/>
        <v>2120</v>
      </c>
      <c r="P43" s="67">
        <f t="shared" si="45"/>
        <v>2344</v>
      </c>
      <c r="Q43" s="67">
        <f t="shared" si="45"/>
        <v>2534</v>
      </c>
      <c r="R43" s="67">
        <f t="shared" si="45"/>
        <v>2594</v>
      </c>
      <c r="S43" s="67">
        <f t="shared" si="45"/>
        <v>2577</v>
      </c>
      <c r="T43" s="58">
        <f t="shared" si="45"/>
        <v>2481</v>
      </c>
      <c r="U43" s="58">
        <f t="shared" si="45"/>
        <v>2419</v>
      </c>
      <c r="V43" s="58">
        <v>2679</v>
      </c>
      <c r="W43" s="58">
        <v>2674</v>
      </c>
      <c r="X43" s="66">
        <v>2828</v>
      </c>
      <c r="Y43" s="66">
        <v>2748</v>
      </c>
      <c r="Z43" s="151">
        <v>2677</v>
      </c>
      <c r="AA43" s="151">
        <v>2782</v>
      </c>
      <c r="AB43" s="151">
        <v>4997</v>
      </c>
      <c r="AC43" s="151">
        <v>5770</v>
      </c>
      <c r="AD43" s="151">
        <v>5462</v>
      </c>
      <c r="AE43" s="152">
        <v>5591</v>
      </c>
      <c r="AF43" s="152">
        <v>5491</v>
      </c>
      <c r="AG43" s="152">
        <v>4908</v>
      </c>
      <c r="AH43" s="152">
        <f>AH13+AH28</f>
        <v>5030</v>
      </c>
      <c r="AI43" s="152">
        <v>4509</v>
      </c>
      <c r="AJ43" s="152">
        <v>4939</v>
      </c>
      <c r="AK43" s="152">
        <v>4993</v>
      </c>
      <c r="AL43" s="152">
        <v>4779</v>
      </c>
      <c r="AM43" s="152">
        <v>4268</v>
      </c>
      <c r="AN43" s="152">
        <v>4287</v>
      </c>
      <c r="AO43" s="152">
        <v>4546</v>
      </c>
      <c r="AP43" s="152">
        <v>4399</v>
      </c>
      <c r="AQ43" s="152">
        <v>4383</v>
      </c>
      <c r="AR43" s="152">
        <v>4253</v>
      </c>
      <c r="AS43" s="152">
        <v>4327</v>
      </c>
      <c r="AT43" s="66">
        <v>4599</v>
      </c>
      <c r="AU43" s="66">
        <v>4639</v>
      </c>
      <c r="AV43" s="152">
        <v>4541</v>
      </c>
      <c r="AW43" s="152">
        <v>3604</v>
      </c>
      <c r="AX43" s="152">
        <v>4495</v>
      </c>
      <c r="AY43" s="152">
        <v>4346</v>
      </c>
      <c r="AZ43" s="152">
        <v>2696</v>
      </c>
      <c r="BA43" s="152">
        <v>3940</v>
      </c>
      <c r="BB43" s="152">
        <v>4211</v>
      </c>
      <c r="BC43" s="152">
        <v>4149</v>
      </c>
      <c r="BD43" s="152">
        <v>4069</v>
      </c>
      <c r="BE43" s="151">
        <v>4010</v>
      </c>
      <c r="BF43" s="152">
        <v>4029</v>
      </c>
    </row>
    <row r="44" spans="1:58" ht="12.75">
      <c r="A44" s="2" t="s">
        <v>178</v>
      </c>
      <c r="C44" s="16"/>
      <c r="D44" s="65"/>
      <c r="E44" s="65"/>
      <c r="F44" s="65"/>
      <c r="G44" s="65"/>
      <c r="H44" s="65"/>
      <c r="I44" s="65"/>
      <c r="J44" s="65"/>
      <c r="K44" s="152">
        <v>0</v>
      </c>
      <c r="L44" s="152">
        <v>0</v>
      </c>
      <c r="M44" s="152">
        <v>0</v>
      </c>
      <c r="N44" s="152">
        <v>0</v>
      </c>
      <c r="O44" s="152">
        <v>0</v>
      </c>
      <c r="P44" s="152">
        <v>0</v>
      </c>
      <c r="Q44" s="152">
        <v>0</v>
      </c>
      <c r="R44" s="152">
        <v>0</v>
      </c>
      <c r="S44" s="152">
        <v>0</v>
      </c>
      <c r="T44" s="152">
        <v>0</v>
      </c>
      <c r="U44" s="152">
        <v>0</v>
      </c>
      <c r="V44" s="152">
        <v>0</v>
      </c>
      <c r="W44" s="152">
        <v>0</v>
      </c>
      <c r="X44" s="152">
        <v>0</v>
      </c>
      <c r="Y44" s="152">
        <v>0</v>
      </c>
      <c r="Z44" s="152">
        <v>0</v>
      </c>
      <c r="AA44" s="152">
        <v>0</v>
      </c>
      <c r="AB44" s="152">
        <v>0</v>
      </c>
      <c r="AC44" s="152">
        <v>0</v>
      </c>
      <c r="AD44" s="152">
        <v>0</v>
      </c>
      <c r="AE44" s="152">
        <v>0</v>
      </c>
      <c r="AF44" s="152">
        <v>0</v>
      </c>
      <c r="AG44" s="152">
        <v>0</v>
      </c>
      <c r="AH44" s="152">
        <v>0</v>
      </c>
      <c r="AI44" s="152">
        <v>0</v>
      </c>
      <c r="AJ44" s="152">
        <v>0</v>
      </c>
      <c r="AK44" s="152">
        <v>0</v>
      </c>
      <c r="AL44" s="152">
        <v>0</v>
      </c>
      <c r="AM44" s="152">
        <v>0</v>
      </c>
      <c r="AN44" s="152">
        <v>0</v>
      </c>
      <c r="AO44" s="152">
        <v>1856</v>
      </c>
      <c r="AP44" s="152">
        <v>3938</v>
      </c>
      <c r="AQ44" s="152">
        <v>4070</v>
      </c>
      <c r="AR44" s="152">
        <v>4002</v>
      </c>
      <c r="AS44" s="152">
        <v>4366</v>
      </c>
      <c r="AT44" s="66">
        <v>4283</v>
      </c>
      <c r="AU44" s="66">
        <v>4254</v>
      </c>
      <c r="AV44" s="152">
        <v>4184</v>
      </c>
      <c r="AW44" s="152">
        <v>4274</v>
      </c>
      <c r="AX44" s="152">
        <v>4182</v>
      </c>
      <c r="AY44" s="152">
        <v>4076</v>
      </c>
      <c r="AZ44" s="152">
        <v>3996</v>
      </c>
      <c r="BA44" s="152">
        <v>3973</v>
      </c>
      <c r="BB44" s="152">
        <v>4031</v>
      </c>
      <c r="BC44" s="152">
        <v>3882</v>
      </c>
      <c r="BD44" s="152">
        <v>3680</v>
      </c>
      <c r="BE44" s="151">
        <v>3655</v>
      </c>
      <c r="BF44" s="152">
        <v>4549</v>
      </c>
    </row>
    <row r="45" spans="1:58" ht="12.75">
      <c r="A45" s="2" t="s">
        <v>136</v>
      </c>
      <c r="C45" s="2"/>
      <c r="D45" s="65">
        <v>0</v>
      </c>
      <c r="E45" s="65">
        <v>0</v>
      </c>
      <c r="F45" s="65">
        <v>0</v>
      </c>
      <c r="G45" s="65">
        <v>0</v>
      </c>
      <c r="H45" s="65">
        <v>0</v>
      </c>
      <c r="I45" s="65">
        <v>769</v>
      </c>
      <c r="J45" s="65">
        <v>1216</v>
      </c>
      <c r="K45" s="65">
        <v>997</v>
      </c>
      <c r="L45" s="65">
        <v>1015</v>
      </c>
      <c r="M45" s="65">
        <v>983</v>
      </c>
      <c r="N45" s="65">
        <v>1249</v>
      </c>
      <c r="O45" s="65">
        <f aca="true" t="shared" si="46" ref="O45:U48">O15+O30</f>
        <v>362</v>
      </c>
      <c r="P45" s="67">
        <f t="shared" si="46"/>
        <v>198</v>
      </c>
      <c r="Q45" s="67">
        <f t="shared" si="46"/>
        <v>220</v>
      </c>
      <c r="R45" s="67">
        <f t="shared" si="46"/>
        <v>329</v>
      </c>
      <c r="S45" s="67">
        <f t="shared" si="46"/>
        <v>389</v>
      </c>
      <c r="T45" s="58">
        <f t="shared" si="46"/>
        <v>350</v>
      </c>
      <c r="U45" s="58">
        <f t="shared" si="46"/>
        <v>-173</v>
      </c>
      <c r="V45" s="58">
        <v>-231</v>
      </c>
      <c r="W45" s="58">
        <v>-21</v>
      </c>
      <c r="X45" s="66">
        <v>0</v>
      </c>
      <c r="Y45" s="66">
        <v>0</v>
      </c>
      <c r="Z45" s="151">
        <v>0</v>
      </c>
      <c r="AA45" s="151">
        <v>0</v>
      </c>
      <c r="AB45" s="151">
        <v>0</v>
      </c>
      <c r="AC45" s="151">
        <v>0</v>
      </c>
      <c r="AD45" s="151">
        <v>0</v>
      </c>
      <c r="AE45" s="152">
        <v>0</v>
      </c>
      <c r="AF45" s="152">
        <v>0</v>
      </c>
      <c r="AG45" s="152">
        <v>0</v>
      </c>
      <c r="AH45" s="152">
        <v>0</v>
      </c>
      <c r="AI45" s="152">
        <v>0</v>
      </c>
      <c r="AJ45" s="152">
        <v>0</v>
      </c>
      <c r="AK45" s="152">
        <v>0</v>
      </c>
      <c r="AL45" s="152">
        <v>0</v>
      </c>
      <c r="AM45" s="152">
        <v>0</v>
      </c>
      <c r="AN45" s="152">
        <v>0</v>
      </c>
      <c r="AO45" s="152">
        <v>0</v>
      </c>
      <c r="AP45" s="152">
        <v>0</v>
      </c>
      <c r="AQ45" s="152">
        <v>0</v>
      </c>
      <c r="AR45" s="152">
        <v>0</v>
      </c>
      <c r="AS45" s="152">
        <v>0</v>
      </c>
      <c r="AT45" s="152">
        <v>0</v>
      </c>
      <c r="AU45" s="152">
        <v>0</v>
      </c>
      <c r="AV45" s="152">
        <v>0</v>
      </c>
      <c r="AW45" s="152">
        <v>0</v>
      </c>
      <c r="AX45" s="152">
        <v>0</v>
      </c>
      <c r="AY45" s="152">
        <v>0</v>
      </c>
      <c r="AZ45" s="152">
        <v>0</v>
      </c>
      <c r="BA45" s="152">
        <v>0</v>
      </c>
      <c r="BB45" s="152">
        <v>0</v>
      </c>
      <c r="BC45" s="152">
        <v>0</v>
      </c>
      <c r="BD45" s="152">
        <v>0</v>
      </c>
      <c r="BE45" s="151">
        <v>0</v>
      </c>
      <c r="BF45" s="152">
        <v>0</v>
      </c>
    </row>
    <row r="46" spans="1:58" ht="12.75">
      <c r="A46" s="2" t="s">
        <v>108</v>
      </c>
      <c r="C46" s="2"/>
      <c r="D46" s="65">
        <v>0</v>
      </c>
      <c r="E46" s="65">
        <v>0</v>
      </c>
      <c r="F46" s="65">
        <v>0</v>
      </c>
      <c r="G46" s="65">
        <v>0</v>
      </c>
      <c r="H46" s="65">
        <v>0</v>
      </c>
      <c r="I46" s="65">
        <v>21</v>
      </c>
      <c r="J46" s="65">
        <v>240</v>
      </c>
      <c r="K46" s="65">
        <v>221</v>
      </c>
      <c r="L46" s="65">
        <v>213</v>
      </c>
      <c r="M46" s="65">
        <v>217</v>
      </c>
      <c r="N46" s="65">
        <v>285</v>
      </c>
      <c r="O46" s="65">
        <f t="shared" si="46"/>
        <v>307</v>
      </c>
      <c r="P46" s="67">
        <f t="shared" si="46"/>
        <v>260</v>
      </c>
      <c r="Q46" s="67">
        <f t="shared" si="46"/>
        <v>285</v>
      </c>
      <c r="R46" s="67">
        <f t="shared" si="46"/>
        <v>301</v>
      </c>
      <c r="S46" s="67">
        <f t="shared" si="46"/>
        <v>279</v>
      </c>
      <c r="T46" s="58">
        <f t="shared" si="46"/>
        <v>290</v>
      </c>
      <c r="U46" s="58">
        <f t="shared" si="46"/>
        <v>298</v>
      </c>
      <c r="V46" s="58">
        <v>312</v>
      </c>
      <c r="W46" s="58">
        <v>302</v>
      </c>
      <c r="X46" s="66">
        <v>263</v>
      </c>
      <c r="Y46" s="66">
        <v>282</v>
      </c>
      <c r="Z46" s="151">
        <v>318</v>
      </c>
      <c r="AA46" s="151">
        <v>302</v>
      </c>
      <c r="AB46" s="151">
        <v>296</v>
      </c>
      <c r="AC46" s="151">
        <v>295</v>
      </c>
      <c r="AD46" s="151">
        <v>85</v>
      </c>
      <c r="AE46" s="152">
        <v>0</v>
      </c>
      <c r="AF46" s="152">
        <v>0</v>
      </c>
      <c r="AG46" s="152">
        <v>0</v>
      </c>
      <c r="AH46" s="152">
        <v>0</v>
      </c>
      <c r="AI46" s="152">
        <v>0</v>
      </c>
      <c r="AJ46" s="152">
        <v>0</v>
      </c>
      <c r="AK46" s="152">
        <v>0</v>
      </c>
      <c r="AL46" s="152">
        <v>0</v>
      </c>
      <c r="AM46" s="152">
        <v>0</v>
      </c>
      <c r="AN46" s="152">
        <v>0</v>
      </c>
      <c r="AO46" s="152">
        <v>0</v>
      </c>
      <c r="AP46" s="152">
        <v>0</v>
      </c>
      <c r="AQ46" s="152">
        <v>0</v>
      </c>
      <c r="AR46" s="152">
        <v>0</v>
      </c>
      <c r="AS46" s="152">
        <v>0</v>
      </c>
      <c r="AT46" s="152">
        <v>0</v>
      </c>
      <c r="AU46" s="152">
        <v>0</v>
      </c>
      <c r="AV46" s="152">
        <v>0</v>
      </c>
      <c r="AW46" s="152">
        <v>0</v>
      </c>
      <c r="AX46" s="152">
        <v>0</v>
      </c>
      <c r="AY46" s="152">
        <v>0</v>
      </c>
      <c r="AZ46" s="152">
        <v>0</v>
      </c>
      <c r="BA46" s="152">
        <v>0</v>
      </c>
      <c r="BB46" s="152">
        <v>0</v>
      </c>
      <c r="BC46" s="152">
        <v>0</v>
      </c>
      <c r="BD46" s="152">
        <v>0</v>
      </c>
      <c r="BE46" s="151">
        <v>0</v>
      </c>
      <c r="BF46" s="152">
        <v>0</v>
      </c>
    </row>
    <row r="47" spans="1:58" ht="12.75">
      <c r="A47" s="2" t="s">
        <v>107</v>
      </c>
      <c r="C47" s="2"/>
      <c r="D47" s="65">
        <v>0</v>
      </c>
      <c r="E47" s="65">
        <v>0</v>
      </c>
      <c r="F47" s="65">
        <v>0</v>
      </c>
      <c r="G47" s="65">
        <v>0</v>
      </c>
      <c r="H47" s="65">
        <v>0</v>
      </c>
      <c r="I47" s="65">
        <v>67</v>
      </c>
      <c r="J47" s="65">
        <v>960</v>
      </c>
      <c r="K47" s="65">
        <v>903</v>
      </c>
      <c r="L47" s="65">
        <v>861</v>
      </c>
      <c r="M47" s="65">
        <v>851</v>
      </c>
      <c r="N47" s="65">
        <v>1094</v>
      </c>
      <c r="O47" s="65">
        <f t="shared" si="46"/>
        <v>1228</v>
      </c>
      <c r="P47" s="67">
        <f t="shared" si="46"/>
        <v>1088</v>
      </c>
      <c r="Q47" s="67">
        <f t="shared" si="46"/>
        <v>1124</v>
      </c>
      <c r="R47" s="67">
        <f t="shared" si="46"/>
        <v>987</v>
      </c>
      <c r="S47" s="67">
        <f t="shared" si="46"/>
        <v>1090</v>
      </c>
      <c r="T47" s="58">
        <f t="shared" si="46"/>
        <v>976</v>
      </c>
      <c r="U47" s="58">
        <f t="shared" si="46"/>
        <v>946</v>
      </c>
      <c r="V47" s="58">
        <v>1100</v>
      </c>
      <c r="W47" s="58">
        <v>1056</v>
      </c>
      <c r="X47" s="66">
        <v>1037</v>
      </c>
      <c r="Y47" s="66">
        <v>913</v>
      </c>
      <c r="Z47" s="151">
        <v>1075</v>
      </c>
      <c r="AA47" s="151">
        <v>825</v>
      </c>
      <c r="AB47" s="151">
        <v>831</v>
      </c>
      <c r="AC47" s="151">
        <v>623</v>
      </c>
      <c r="AD47" s="151">
        <v>127</v>
      </c>
      <c r="AE47" s="152">
        <v>0</v>
      </c>
      <c r="AF47" s="152">
        <v>0</v>
      </c>
      <c r="AG47" s="152">
        <v>0</v>
      </c>
      <c r="AH47" s="152">
        <v>0</v>
      </c>
      <c r="AI47" s="152">
        <v>0</v>
      </c>
      <c r="AJ47" s="152">
        <v>0</v>
      </c>
      <c r="AK47" s="152">
        <v>0</v>
      </c>
      <c r="AL47" s="152">
        <v>0</v>
      </c>
      <c r="AM47" s="152">
        <v>0</v>
      </c>
      <c r="AN47" s="152">
        <v>0</v>
      </c>
      <c r="AO47" s="152">
        <v>0</v>
      </c>
      <c r="AP47" s="152">
        <v>0</v>
      </c>
      <c r="AQ47" s="152">
        <v>0</v>
      </c>
      <c r="AR47" s="152">
        <v>0</v>
      </c>
      <c r="AS47" s="152">
        <v>0</v>
      </c>
      <c r="AT47" s="152">
        <v>0</v>
      </c>
      <c r="AU47" s="152">
        <v>0</v>
      </c>
      <c r="AV47" s="152">
        <v>0</v>
      </c>
      <c r="AW47" s="152">
        <v>0</v>
      </c>
      <c r="AX47" s="152">
        <v>0</v>
      </c>
      <c r="AY47" s="152">
        <v>0</v>
      </c>
      <c r="AZ47" s="152">
        <v>0</v>
      </c>
      <c r="BA47" s="152">
        <v>0</v>
      </c>
      <c r="BB47" s="152">
        <v>0</v>
      </c>
      <c r="BC47" s="152">
        <v>0</v>
      </c>
      <c r="BD47" s="152">
        <v>0</v>
      </c>
      <c r="BE47" s="151">
        <v>0</v>
      </c>
      <c r="BF47" s="152">
        <v>0</v>
      </c>
    </row>
    <row r="48" spans="1:58" s="19" customFormat="1" ht="12.75">
      <c r="A48" s="2" t="s">
        <v>109</v>
      </c>
      <c r="B48" s="52"/>
      <c r="C48" s="52"/>
      <c r="D48" s="65">
        <v>0</v>
      </c>
      <c r="E48" s="65">
        <v>0</v>
      </c>
      <c r="F48" s="65">
        <v>0</v>
      </c>
      <c r="G48" s="65">
        <v>0</v>
      </c>
      <c r="H48" s="65">
        <v>0</v>
      </c>
      <c r="I48" s="65">
        <v>31</v>
      </c>
      <c r="J48" s="65">
        <v>460</v>
      </c>
      <c r="K48" s="65">
        <v>431</v>
      </c>
      <c r="L48" s="65">
        <v>416</v>
      </c>
      <c r="M48" s="65">
        <v>414</v>
      </c>
      <c r="N48" s="65">
        <v>431</v>
      </c>
      <c r="O48" s="65">
        <f t="shared" si="46"/>
        <v>567</v>
      </c>
      <c r="P48" s="67">
        <f t="shared" si="46"/>
        <v>534</v>
      </c>
      <c r="Q48" s="67">
        <f t="shared" si="46"/>
        <v>543</v>
      </c>
      <c r="R48" s="67">
        <f t="shared" si="46"/>
        <v>537</v>
      </c>
      <c r="S48" s="67">
        <f t="shared" si="46"/>
        <v>547</v>
      </c>
      <c r="T48" s="58">
        <f t="shared" si="46"/>
        <v>526</v>
      </c>
      <c r="U48" s="58">
        <f t="shared" si="46"/>
        <v>548</v>
      </c>
      <c r="V48" s="58">
        <v>547</v>
      </c>
      <c r="W48" s="66">
        <v>551</v>
      </c>
      <c r="X48" s="66">
        <v>509</v>
      </c>
      <c r="Y48" s="66">
        <v>551</v>
      </c>
      <c r="Z48" s="152">
        <v>589</v>
      </c>
      <c r="AA48" s="152">
        <v>561</v>
      </c>
      <c r="AB48" s="152">
        <v>556</v>
      </c>
      <c r="AC48" s="152">
        <v>566</v>
      </c>
      <c r="AD48" s="152">
        <v>64</v>
      </c>
      <c r="AE48" s="152">
        <v>0</v>
      </c>
      <c r="AF48" s="152">
        <v>0</v>
      </c>
      <c r="AG48" s="152">
        <v>0</v>
      </c>
      <c r="AH48" s="152">
        <v>0</v>
      </c>
      <c r="AI48" s="152">
        <v>0</v>
      </c>
      <c r="AJ48" s="152">
        <v>0</v>
      </c>
      <c r="AK48" s="152">
        <v>0</v>
      </c>
      <c r="AL48" s="152">
        <v>0</v>
      </c>
      <c r="AM48" s="152">
        <v>0</v>
      </c>
      <c r="AN48" s="152">
        <v>0</v>
      </c>
      <c r="AO48" s="152">
        <v>0</v>
      </c>
      <c r="AP48" s="152">
        <v>0</v>
      </c>
      <c r="AQ48" s="152">
        <v>0</v>
      </c>
      <c r="AR48" s="152">
        <v>0</v>
      </c>
      <c r="AS48" s="152">
        <v>0</v>
      </c>
      <c r="AT48" s="152">
        <v>0</v>
      </c>
      <c r="AU48" s="152">
        <v>0</v>
      </c>
      <c r="AV48" s="152">
        <v>0</v>
      </c>
      <c r="AW48" s="152">
        <v>0</v>
      </c>
      <c r="AX48" s="152">
        <v>0</v>
      </c>
      <c r="AY48" s="152">
        <v>0</v>
      </c>
      <c r="AZ48" s="152">
        <v>0</v>
      </c>
      <c r="BA48" s="152">
        <v>0</v>
      </c>
      <c r="BB48" s="152">
        <v>0</v>
      </c>
      <c r="BC48" s="152">
        <v>0</v>
      </c>
      <c r="BD48" s="152">
        <v>0</v>
      </c>
      <c r="BE48" s="151">
        <v>0</v>
      </c>
      <c r="BF48" s="152">
        <v>0</v>
      </c>
    </row>
    <row r="49" spans="1:58" s="19" customFormat="1" ht="12.75">
      <c r="A49" s="2" t="s">
        <v>31</v>
      </c>
      <c r="B49" s="52"/>
      <c r="C49" s="52"/>
      <c r="D49" s="65">
        <v>874</v>
      </c>
      <c r="E49" s="65">
        <v>644</v>
      </c>
      <c r="F49" s="65">
        <v>708</v>
      </c>
      <c r="G49" s="65">
        <v>838</v>
      </c>
      <c r="H49" s="65">
        <v>5146</v>
      </c>
      <c r="I49" s="65">
        <v>770</v>
      </c>
      <c r="J49" s="65">
        <v>565</v>
      </c>
      <c r="K49" s="65">
        <v>495</v>
      </c>
      <c r="L49" s="65">
        <v>573</v>
      </c>
      <c r="M49" s="65">
        <v>-573</v>
      </c>
      <c r="N49" s="65"/>
      <c r="O49" s="67"/>
      <c r="P49" s="67">
        <f aca="true" t="shared" si="47" ref="P49:U49">P19+P34</f>
        <v>0</v>
      </c>
      <c r="Q49" s="67">
        <f t="shared" si="47"/>
        <v>0</v>
      </c>
      <c r="R49" s="67">
        <f t="shared" si="47"/>
        <v>0</v>
      </c>
      <c r="S49" s="67">
        <f t="shared" si="47"/>
        <v>0</v>
      </c>
      <c r="T49" s="58">
        <f t="shared" si="47"/>
        <v>0</v>
      </c>
      <c r="U49" s="58">
        <f t="shared" si="47"/>
        <v>0</v>
      </c>
      <c r="V49" s="58">
        <v>0</v>
      </c>
      <c r="W49" s="66">
        <v>0</v>
      </c>
      <c r="X49" s="66">
        <v>0</v>
      </c>
      <c r="Y49" s="66">
        <v>0</v>
      </c>
      <c r="Z49" s="152">
        <v>0</v>
      </c>
      <c r="AA49" s="152">
        <v>0</v>
      </c>
      <c r="AB49" s="152">
        <v>0</v>
      </c>
      <c r="AC49" s="152">
        <v>0</v>
      </c>
      <c r="AD49" s="152">
        <v>0</v>
      </c>
      <c r="AE49" s="152">
        <v>0</v>
      </c>
      <c r="AF49" s="152">
        <v>0</v>
      </c>
      <c r="AG49" s="152">
        <v>0</v>
      </c>
      <c r="AH49" s="152">
        <v>0</v>
      </c>
      <c r="AI49" s="152">
        <v>0</v>
      </c>
      <c r="AJ49" s="152">
        <v>0</v>
      </c>
      <c r="AK49" s="152">
        <v>0</v>
      </c>
      <c r="AL49" s="152">
        <v>0</v>
      </c>
      <c r="AM49" s="152">
        <v>0</v>
      </c>
      <c r="AN49" s="152">
        <v>0</v>
      </c>
      <c r="AO49" s="152">
        <v>0</v>
      </c>
      <c r="AP49" s="152">
        <v>0</v>
      </c>
      <c r="AQ49" s="152">
        <v>0</v>
      </c>
      <c r="AR49" s="152">
        <v>0</v>
      </c>
      <c r="AS49" s="152">
        <v>0</v>
      </c>
      <c r="AT49" s="152">
        <v>0</v>
      </c>
      <c r="AU49" s="152">
        <v>0</v>
      </c>
      <c r="AV49" s="152">
        <v>0</v>
      </c>
      <c r="AW49" s="152">
        <v>0</v>
      </c>
      <c r="AX49" s="152">
        <v>0</v>
      </c>
      <c r="AY49" s="152">
        <v>0</v>
      </c>
      <c r="AZ49" s="152">
        <v>0</v>
      </c>
      <c r="BA49" s="152">
        <v>0</v>
      </c>
      <c r="BB49" s="152">
        <v>0</v>
      </c>
      <c r="BC49" s="152">
        <v>0</v>
      </c>
      <c r="BD49" s="152">
        <v>0</v>
      </c>
      <c r="BE49" s="151">
        <v>0</v>
      </c>
      <c r="BF49" s="152">
        <v>0</v>
      </c>
    </row>
    <row r="50" spans="1:58" ht="13.5" thickBot="1">
      <c r="A50" s="2" t="s">
        <v>29</v>
      </c>
      <c r="C50" s="2"/>
      <c r="D50" s="59">
        <f>SUM(D38:D49)</f>
        <v>9759</v>
      </c>
      <c r="E50" s="59">
        <f>SUM(E38:E49)</f>
        <v>9312</v>
      </c>
      <c r="F50" s="59">
        <f aca="true" t="shared" si="48" ref="F50:Q50">SUM(F38:F49)</f>
        <v>9686</v>
      </c>
      <c r="G50" s="59">
        <f t="shared" si="48"/>
        <v>10229</v>
      </c>
      <c r="H50" s="59">
        <f t="shared" si="48"/>
        <v>15122</v>
      </c>
      <c r="I50" s="59">
        <f t="shared" si="48"/>
        <v>15456</v>
      </c>
      <c r="J50" s="59">
        <f t="shared" si="48"/>
        <v>20614</v>
      </c>
      <c r="K50" s="59">
        <f t="shared" si="48"/>
        <v>22083</v>
      </c>
      <c r="L50" s="59">
        <f t="shared" si="48"/>
        <v>20809</v>
      </c>
      <c r="M50" s="59">
        <f t="shared" si="48"/>
        <v>19508</v>
      </c>
      <c r="N50" s="59">
        <f t="shared" si="48"/>
        <v>18559</v>
      </c>
      <c r="O50" s="59">
        <f t="shared" si="48"/>
        <v>18668</v>
      </c>
      <c r="P50" s="59">
        <f t="shared" si="48"/>
        <v>17073</v>
      </c>
      <c r="Q50" s="59">
        <f t="shared" si="48"/>
        <v>19961</v>
      </c>
      <c r="R50" s="59">
        <f aca="true" t="shared" si="49" ref="R50:W50">SUM(R38:R49)</f>
        <v>23502</v>
      </c>
      <c r="S50" s="59">
        <f t="shared" si="49"/>
        <v>23608</v>
      </c>
      <c r="T50" s="68">
        <f t="shared" si="49"/>
        <v>22698</v>
      </c>
      <c r="U50" s="68">
        <f t="shared" si="49"/>
        <v>23230</v>
      </c>
      <c r="V50" s="68">
        <f t="shared" si="49"/>
        <v>22946</v>
      </c>
      <c r="W50" s="68">
        <f t="shared" si="49"/>
        <v>23847</v>
      </c>
      <c r="X50" s="147">
        <f aca="true" t="shared" si="50" ref="X50:AC50">SUM(X38:X49)</f>
        <v>24880</v>
      </c>
      <c r="Y50" s="147">
        <f t="shared" si="50"/>
        <v>24344</v>
      </c>
      <c r="Z50" s="147">
        <f t="shared" si="50"/>
        <v>24633</v>
      </c>
      <c r="AA50" s="147">
        <f t="shared" si="50"/>
        <v>24760</v>
      </c>
      <c r="AB50" s="147">
        <f t="shared" si="50"/>
        <v>26641</v>
      </c>
      <c r="AC50" s="147">
        <f t="shared" si="50"/>
        <v>26482</v>
      </c>
      <c r="AD50" s="147">
        <f aca="true" t="shared" si="51" ref="AD50:AI50">SUM(AD38:AD49)</f>
        <v>22934</v>
      </c>
      <c r="AE50" s="147">
        <f t="shared" si="51"/>
        <v>23038</v>
      </c>
      <c r="AF50" s="147">
        <f t="shared" si="51"/>
        <v>23082</v>
      </c>
      <c r="AG50" s="147">
        <f t="shared" si="51"/>
        <v>21882</v>
      </c>
      <c r="AH50" s="147">
        <f t="shared" si="51"/>
        <v>22126</v>
      </c>
      <c r="AI50" s="147">
        <f t="shared" si="51"/>
        <v>21704</v>
      </c>
      <c r="AJ50" s="147">
        <f aca="true" t="shared" si="52" ref="AJ50:AP50">SUM(AJ38:AJ49)</f>
        <v>22919</v>
      </c>
      <c r="AK50" s="147">
        <f t="shared" si="52"/>
        <v>23805</v>
      </c>
      <c r="AL50" s="147">
        <f t="shared" si="52"/>
        <v>25444</v>
      </c>
      <c r="AM50" s="147">
        <f t="shared" si="52"/>
        <v>24716</v>
      </c>
      <c r="AN50" s="147">
        <f t="shared" si="52"/>
        <v>24321</v>
      </c>
      <c r="AO50" s="147">
        <f t="shared" si="52"/>
        <v>27387</v>
      </c>
      <c r="AP50" s="147">
        <f t="shared" si="52"/>
        <v>29378</v>
      </c>
      <c r="AQ50" s="147">
        <f aca="true" t="shared" si="53" ref="AQ50:AV50">SUM(AQ38:AQ49)</f>
        <v>28836</v>
      </c>
      <c r="AR50" s="147">
        <f t="shared" si="53"/>
        <v>28111</v>
      </c>
      <c r="AS50" s="147">
        <f t="shared" si="53"/>
        <v>29289</v>
      </c>
      <c r="AT50" s="147">
        <f t="shared" si="53"/>
        <v>29212</v>
      </c>
      <c r="AU50" s="147">
        <f t="shared" si="53"/>
        <v>30020</v>
      </c>
      <c r="AV50" s="147">
        <f t="shared" si="53"/>
        <v>27876</v>
      </c>
      <c r="AW50" s="147">
        <f aca="true" t="shared" si="54" ref="AW50:BB50">SUM(AW38:AW49)</f>
        <v>26735</v>
      </c>
      <c r="AX50" s="147">
        <f t="shared" si="54"/>
        <v>24858</v>
      </c>
      <c r="AY50" s="147">
        <f t="shared" si="54"/>
        <v>22432</v>
      </c>
      <c r="AZ50" s="147">
        <f t="shared" si="54"/>
        <v>20371</v>
      </c>
      <c r="BA50" s="147">
        <f t="shared" si="54"/>
        <v>21611</v>
      </c>
      <c r="BB50" s="147">
        <f t="shared" si="54"/>
        <v>21122</v>
      </c>
      <c r="BC50" s="147">
        <f>SUM(BC38:BC49)</f>
        <v>20087</v>
      </c>
      <c r="BD50" s="147">
        <f>SUM(BD38:BD49)</f>
        <v>19753</v>
      </c>
      <c r="BE50" s="68">
        <f>SUM(BE38:BE49)</f>
        <v>21727</v>
      </c>
      <c r="BF50" s="147">
        <f>SUM(BF38:BF49)</f>
        <v>26714</v>
      </c>
    </row>
    <row r="51" spans="1:57" s="124" customFormat="1" ht="12.75">
      <c r="A51" s="123"/>
      <c r="B51" s="123"/>
      <c r="C51" s="123"/>
      <c r="D51" s="122"/>
      <c r="E51" s="122"/>
      <c r="F51" s="122"/>
      <c r="G51" s="122"/>
      <c r="H51" s="122"/>
      <c r="I51" s="122"/>
      <c r="J51" s="122"/>
      <c r="K51" s="122"/>
      <c r="L51" s="65"/>
      <c r="M51" s="65"/>
      <c r="N51" s="122"/>
      <c r="O51" s="65"/>
      <c r="P51" s="65"/>
      <c r="Q51" s="65"/>
      <c r="R51" s="65"/>
      <c r="S51" s="65"/>
      <c r="T51" s="65"/>
      <c r="U51" s="65"/>
      <c r="V51" s="65"/>
      <c r="W51" s="65"/>
      <c r="X51" s="65"/>
      <c r="Y51" s="141"/>
      <c r="BE51" s="251"/>
    </row>
    <row r="52" spans="1:57" s="19" customFormat="1" ht="12.75">
      <c r="A52" s="52"/>
      <c r="B52" s="52"/>
      <c r="C52" s="52"/>
      <c r="D52" s="64"/>
      <c r="E52" s="64"/>
      <c r="F52" s="64"/>
      <c r="G52" s="64"/>
      <c r="H52" s="64"/>
      <c r="I52" s="64"/>
      <c r="J52" s="64"/>
      <c r="K52" s="64"/>
      <c r="L52" s="65"/>
      <c r="M52" s="65"/>
      <c r="N52" s="65"/>
      <c r="O52" s="65"/>
      <c r="P52" s="65"/>
      <c r="Q52" s="65"/>
      <c r="R52" s="65"/>
      <c r="S52" s="65"/>
      <c r="T52" s="65"/>
      <c r="U52" s="65"/>
      <c r="V52" s="140"/>
      <c r="W52" s="140"/>
      <c r="X52" s="140"/>
      <c r="BE52" s="6"/>
    </row>
    <row r="53" spans="1:57" ht="12.75">
      <c r="A53" s="108" t="s">
        <v>96</v>
      </c>
      <c r="C53" s="2"/>
      <c r="D53" s="62"/>
      <c r="E53" s="62"/>
      <c r="F53" s="62"/>
      <c r="G53" s="62"/>
      <c r="H53" s="62"/>
      <c r="I53" s="62"/>
      <c r="J53" s="62"/>
      <c r="K53" s="62"/>
      <c r="L53" s="67"/>
      <c r="M53" s="67"/>
      <c r="N53" s="67"/>
      <c r="O53" s="67"/>
      <c r="P53" s="67"/>
      <c r="Q53" s="67"/>
      <c r="R53" s="65"/>
      <c r="S53" s="65"/>
      <c r="T53" s="67"/>
      <c r="U53" s="67"/>
      <c r="V53" s="141"/>
      <c r="W53" s="141"/>
      <c r="X53" s="140"/>
      <c r="AS53" s="19"/>
      <c r="AT53" s="19"/>
      <c r="BC53" s="19"/>
      <c r="BE53" s="6"/>
    </row>
    <row r="54" spans="1:58" ht="12.75">
      <c r="A54" s="2" t="s">
        <v>94</v>
      </c>
      <c r="C54" s="2"/>
      <c r="D54" s="105">
        <v>1.1664</v>
      </c>
      <c r="E54" s="105">
        <v>1.185</v>
      </c>
      <c r="F54" s="105">
        <v>1.2113</v>
      </c>
      <c r="G54" s="105">
        <v>1.2261</v>
      </c>
      <c r="H54" s="105">
        <v>1.3005</v>
      </c>
      <c r="I54" s="105">
        <v>1.3199</v>
      </c>
      <c r="J54" s="105">
        <v>1.2684</v>
      </c>
      <c r="K54" s="148">
        <v>1.2677</v>
      </c>
      <c r="L54" s="148">
        <v>1.311</v>
      </c>
      <c r="M54" s="148">
        <v>1.1876</v>
      </c>
      <c r="N54" s="148">
        <v>0.9821</v>
      </c>
      <c r="O54" s="148">
        <v>1.0393</v>
      </c>
      <c r="P54" s="148">
        <v>1.1665</v>
      </c>
      <c r="Q54" s="148">
        <v>1.2353</v>
      </c>
      <c r="R54" s="148">
        <v>1.2382</v>
      </c>
      <c r="S54" s="148">
        <v>1.2837</v>
      </c>
      <c r="T54" s="148">
        <v>1.2124</v>
      </c>
      <c r="U54" s="148">
        <v>1.2528</v>
      </c>
      <c r="V54" s="148">
        <v>1.3038</v>
      </c>
      <c r="W54" s="148">
        <v>1.2663</v>
      </c>
      <c r="X54" s="149">
        <v>1.3176999999999994</v>
      </c>
      <c r="Y54" s="149">
        <v>1.2767</v>
      </c>
      <c r="Z54" s="150">
        <v>1.303</v>
      </c>
      <c r="AA54" s="150">
        <v>1.3383</v>
      </c>
      <c r="AB54" s="150">
        <v>1.2765</v>
      </c>
      <c r="AC54" s="150">
        <v>1.2973</v>
      </c>
      <c r="AD54" s="164">
        <v>1.2685</v>
      </c>
      <c r="AE54" s="164">
        <v>1.29</v>
      </c>
      <c r="AF54" s="164">
        <v>1.2406</v>
      </c>
      <c r="AG54" s="164">
        <v>1.1638</v>
      </c>
      <c r="AH54" s="164">
        <v>1.1563</v>
      </c>
      <c r="AI54" s="164">
        <v>1.1382</v>
      </c>
      <c r="AJ54" s="164">
        <v>1.1749</v>
      </c>
      <c r="AK54" s="164">
        <v>1.1545</v>
      </c>
      <c r="AL54" s="164">
        <v>1.108</v>
      </c>
      <c r="AM54" s="164">
        <v>1.0692</v>
      </c>
      <c r="AN54" s="164">
        <v>1.0454</v>
      </c>
      <c r="AO54" s="164">
        <v>1.0156</v>
      </c>
      <c r="AP54" s="164">
        <v>1.012</v>
      </c>
      <c r="AQ54" s="164">
        <v>1.0075</v>
      </c>
      <c r="AR54" s="164">
        <v>1.0056</v>
      </c>
      <c r="AS54" s="164">
        <v>1.0311</v>
      </c>
      <c r="AT54" s="164">
        <v>1.0564</v>
      </c>
      <c r="AU54" s="164">
        <v>1.0686</v>
      </c>
      <c r="AV54" s="164">
        <v>1.0502</v>
      </c>
      <c r="AW54" s="164">
        <v>1.0636</v>
      </c>
      <c r="AX54" s="164">
        <v>1.0364</v>
      </c>
      <c r="AY54" s="6">
        <v>1.0125</v>
      </c>
      <c r="AZ54" s="19">
        <v>1.0099</v>
      </c>
      <c r="BA54" s="6">
        <v>0.9904</v>
      </c>
      <c r="BB54" s="19">
        <v>0.9659</v>
      </c>
      <c r="BC54" s="19">
        <v>0.9602</v>
      </c>
      <c r="BD54" s="19">
        <v>0.9429</v>
      </c>
      <c r="BE54" s="6">
        <v>0.9307</v>
      </c>
      <c r="BF54" s="19">
        <v>0.9443</v>
      </c>
    </row>
    <row r="55" spans="1:58" ht="12.75">
      <c r="A55" s="2" t="s">
        <v>95</v>
      </c>
      <c r="C55" s="16"/>
      <c r="D55" s="105" t="s">
        <v>81</v>
      </c>
      <c r="E55" s="105" t="s">
        <v>81</v>
      </c>
      <c r="F55" s="105" t="s">
        <v>81</v>
      </c>
      <c r="G55" s="105" t="s">
        <v>81</v>
      </c>
      <c r="H55" s="105" t="s">
        <v>81</v>
      </c>
      <c r="I55" s="121">
        <v>0.01294</v>
      </c>
      <c r="J55" s="121">
        <v>0.01289</v>
      </c>
      <c r="K55" s="148">
        <v>0.01393</v>
      </c>
      <c r="L55" s="148">
        <v>0.01285</v>
      </c>
      <c r="M55" s="148">
        <v>0.01342</v>
      </c>
      <c r="N55" s="148">
        <v>0.01602</v>
      </c>
      <c r="O55" s="148">
        <v>0.01549</v>
      </c>
      <c r="P55" s="148">
        <v>0.015085937040350356</v>
      </c>
      <c r="Q55" s="148">
        <v>0.015607222398237006</v>
      </c>
      <c r="R55" s="148">
        <v>0.0154</v>
      </c>
      <c r="S55" s="148">
        <v>0.01542</v>
      </c>
      <c r="T55" s="148">
        <v>0.01521</v>
      </c>
      <c r="U55" s="148">
        <v>0.01566</v>
      </c>
      <c r="V55" s="148">
        <v>0.01564</v>
      </c>
      <c r="W55" s="148">
        <v>0.01566</v>
      </c>
      <c r="X55" s="149">
        <v>0.015289999999999993</v>
      </c>
      <c r="Y55" s="149">
        <v>0.01624</v>
      </c>
      <c r="Z55" s="150">
        <v>0.01669</v>
      </c>
      <c r="AA55" s="150">
        <v>0.01598</v>
      </c>
      <c r="AB55" s="150">
        <v>0.01576</v>
      </c>
      <c r="AC55" s="150">
        <v>0.01585</v>
      </c>
      <c r="AD55" s="164">
        <v>0.01509</v>
      </c>
      <c r="AE55" s="164">
        <v>0.01339</v>
      </c>
      <c r="AF55" s="164">
        <v>0.01264</v>
      </c>
      <c r="AG55" s="164">
        <v>0.012799999999999999</v>
      </c>
      <c r="AH55" s="164">
        <v>0.01242</v>
      </c>
      <c r="AI55" s="164">
        <v>0.01234</v>
      </c>
      <c r="AJ55" s="164">
        <v>0.01228</v>
      </c>
      <c r="AK55" s="164">
        <v>0.01206</v>
      </c>
      <c r="AL55" s="164">
        <v>0.01141</v>
      </c>
      <c r="AM55" s="164">
        <v>0.01142</v>
      </c>
      <c r="AN55" s="164">
        <v>0.01091</v>
      </c>
      <c r="AO55" s="164">
        <v>0.01133</v>
      </c>
      <c r="AP55" s="164">
        <v>0.01159</v>
      </c>
      <c r="AQ55" s="164">
        <v>0.01224</v>
      </c>
      <c r="AR55" s="164">
        <v>0.01262</v>
      </c>
      <c r="AS55" s="164">
        <v>0.01316</v>
      </c>
      <c r="AT55" s="164" t="s">
        <v>191</v>
      </c>
      <c r="AU55" s="164" t="s">
        <v>191</v>
      </c>
      <c r="AV55" s="164" t="s">
        <v>191</v>
      </c>
      <c r="AW55" s="164" t="s">
        <v>191</v>
      </c>
      <c r="AX55" s="164" t="s">
        <v>191</v>
      </c>
      <c r="AY55" s="6" t="s">
        <v>191</v>
      </c>
      <c r="AZ55" s="19" t="s">
        <v>191</v>
      </c>
      <c r="BA55" s="6" t="s">
        <v>191</v>
      </c>
      <c r="BB55" s="19" t="s">
        <v>191</v>
      </c>
      <c r="BC55" s="19" t="s">
        <v>191</v>
      </c>
      <c r="BD55" s="19" t="s">
        <v>191</v>
      </c>
      <c r="BE55" s="6" t="s">
        <v>191</v>
      </c>
      <c r="BF55" s="19" t="s">
        <v>191</v>
      </c>
    </row>
    <row r="56" spans="1:58" ht="12.75">
      <c r="A56" s="2" t="s">
        <v>259</v>
      </c>
      <c r="C56" s="16"/>
      <c r="D56" s="105"/>
      <c r="E56" s="105"/>
      <c r="F56" s="105"/>
      <c r="G56" s="105"/>
      <c r="H56" s="105"/>
      <c r="I56" s="121"/>
      <c r="J56" s="121"/>
      <c r="K56" s="148"/>
      <c r="L56" s="148"/>
      <c r="M56" s="148"/>
      <c r="N56" s="148"/>
      <c r="O56" s="148"/>
      <c r="P56" s="148"/>
      <c r="Q56" s="148"/>
      <c r="R56" s="148"/>
      <c r="S56" s="148"/>
      <c r="T56" s="148"/>
      <c r="U56" s="148"/>
      <c r="V56" s="148"/>
      <c r="W56" s="148"/>
      <c r="X56" s="149"/>
      <c r="Y56" s="149"/>
      <c r="Z56" s="150"/>
      <c r="AA56" s="150"/>
      <c r="AB56" s="150"/>
      <c r="AC56" s="150"/>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6">
        <v>1.8378</v>
      </c>
      <c r="AZ56" s="19">
        <v>1.8003</v>
      </c>
      <c r="BA56" s="6">
        <v>1.7809</v>
      </c>
      <c r="BB56" s="19">
        <v>1.7383</v>
      </c>
      <c r="BC56" s="19">
        <v>1.7669</v>
      </c>
      <c r="BD56" s="19">
        <v>1.7184</v>
      </c>
      <c r="BE56" s="6">
        <v>1.6984</v>
      </c>
      <c r="BF56" s="19">
        <v>1.7841</v>
      </c>
    </row>
    <row r="57" spans="1:57" ht="12.75">
      <c r="A57" s="19"/>
      <c r="B57" s="6"/>
      <c r="C57" s="19"/>
      <c r="L57" s="67"/>
      <c r="M57" s="67"/>
      <c r="N57" s="67"/>
      <c r="O57" s="67"/>
      <c r="P57" s="67"/>
      <c r="Q57" s="67"/>
      <c r="R57" s="65"/>
      <c r="S57" s="65"/>
      <c r="T57" s="67"/>
      <c r="U57" s="67"/>
      <c r="V57" s="141"/>
      <c r="W57" s="141"/>
      <c r="X57" s="141"/>
      <c r="BE57" s="6"/>
    </row>
    <row r="58" spans="1:57" ht="12.75">
      <c r="A58" s="84" t="s">
        <v>77</v>
      </c>
      <c r="B58" s="19"/>
      <c r="C58" s="13"/>
      <c r="L58" s="67"/>
      <c r="M58" s="67"/>
      <c r="N58" s="67"/>
      <c r="O58" s="67"/>
      <c r="P58" s="67"/>
      <c r="Q58" s="67"/>
      <c r="R58" s="65"/>
      <c r="S58" s="65"/>
      <c r="T58" s="67"/>
      <c r="U58" s="67"/>
      <c r="V58" s="141"/>
      <c r="W58" s="142"/>
      <c r="X58" s="142"/>
      <c r="BE58" s="6"/>
    </row>
    <row r="59" spans="1:58" ht="15">
      <c r="A59" s="2" t="s">
        <v>357</v>
      </c>
      <c r="B59" s="19"/>
      <c r="C59" s="85"/>
      <c r="D59" s="87">
        <v>1</v>
      </c>
      <c r="E59" s="87">
        <v>1</v>
      </c>
      <c r="F59" s="87">
        <v>1</v>
      </c>
      <c r="G59" s="87">
        <v>1</v>
      </c>
      <c r="H59" s="87">
        <v>1</v>
      </c>
      <c r="I59" s="87">
        <v>1</v>
      </c>
      <c r="J59" s="87">
        <v>1</v>
      </c>
      <c r="K59" s="87">
        <v>1</v>
      </c>
      <c r="L59" s="87">
        <v>1</v>
      </c>
      <c r="M59" s="87">
        <v>1</v>
      </c>
      <c r="N59" s="87">
        <v>1</v>
      </c>
      <c r="O59" s="87">
        <v>1</v>
      </c>
      <c r="P59" s="87">
        <v>1</v>
      </c>
      <c r="Q59" s="87">
        <v>1</v>
      </c>
      <c r="R59" s="87">
        <v>1</v>
      </c>
      <c r="S59" s="87">
        <v>1</v>
      </c>
      <c r="T59" s="87">
        <v>1</v>
      </c>
      <c r="U59" s="130">
        <v>1</v>
      </c>
      <c r="V59" s="130">
        <v>1</v>
      </c>
      <c r="W59" s="130">
        <v>1</v>
      </c>
      <c r="X59" s="130">
        <v>1</v>
      </c>
      <c r="Y59" s="130">
        <v>1</v>
      </c>
      <c r="Z59" s="153">
        <v>1</v>
      </c>
      <c r="AA59" s="153">
        <v>0.912</v>
      </c>
      <c r="AB59" s="153">
        <v>0.925966424040648</v>
      </c>
      <c r="AC59" s="155" t="s">
        <v>153</v>
      </c>
      <c r="AD59" s="155" t="s">
        <v>153</v>
      </c>
      <c r="AE59" s="155" t="s">
        <v>200</v>
      </c>
      <c r="AF59" s="155">
        <v>0.917</v>
      </c>
      <c r="AG59" s="130">
        <v>0.94</v>
      </c>
      <c r="AH59" s="130" t="s">
        <v>202</v>
      </c>
      <c r="AI59" s="130" t="s">
        <v>199</v>
      </c>
      <c r="AJ59" s="130" t="s">
        <v>204</v>
      </c>
      <c r="AK59" s="130">
        <v>0.99</v>
      </c>
      <c r="AL59" s="130">
        <v>0.98</v>
      </c>
      <c r="AM59" s="130">
        <v>0.97</v>
      </c>
      <c r="AN59" s="130">
        <v>0.97</v>
      </c>
      <c r="AO59" s="130" t="s">
        <v>208</v>
      </c>
      <c r="AP59" s="130">
        <v>0.95</v>
      </c>
      <c r="AQ59" s="130" t="s">
        <v>210</v>
      </c>
      <c r="AR59" s="130" t="s">
        <v>210</v>
      </c>
      <c r="AS59" s="130" t="s">
        <v>210</v>
      </c>
      <c r="AT59" s="130" t="s">
        <v>211</v>
      </c>
      <c r="AU59" s="130" t="s">
        <v>212</v>
      </c>
      <c r="AV59" s="130" t="s">
        <v>218</v>
      </c>
      <c r="AW59" s="130" t="s">
        <v>222</v>
      </c>
      <c r="AX59" s="130" t="s">
        <v>234</v>
      </c>
      <c r="AY59" s="130" t="s">
        <v>249</v>
      </c>
      <c r="AZ59" s="130" t="s">
        <v>261</v>
      </c>
      <c r="BA59" s="130" t="s">
        <v>275</v>
      </c>
      <c r="BB59" s="130" t="s">
        <v>289</v>
      </c>
      <c r="BC59" s="130" t="s">
        <v>296</v>
      </c>
      <c r="BD59" s="197" t="s">
        <v>302</v>
      </c>
      <c r="BE59" s="198" t="s">
        <v>328</v>
      </c>
      <c r="BF59" s="278" t="s">
        <v>340</v>
      </c>
    </row>
    <row r="60" spans="1:58" ht="15">
      <c r="A60" s="52" t="s">
        <v>102</v>
      </c>
      <c r="B60" s="19"/>
      <c r="C60" s="85"/>
      <c r="D60" s="87"/>
      <c r="E60" s="87"/>
      <c r="F60" s="87" t="s">
        <v>81</v>
      </c>
      <c r="G60" s="87" t="s">
        <v>81</v>
      </c>
      <c r="H60" s="87">
        <v>1</v>
      </c>
      <c r="I60" s="87">
        <v>1</v>
      </c>
      <c r="J60" s="87">
        <v>1</v>
      </c>
      <c r="K60" s="87">
        <v>1</v>
      </c>
      <c r="L60" s="87">
        <v>1</v>
      </c>
      <c r="M60" s="87">
        <v>1</v>
      </c>
      <c r="N60" s="87">
        <v>1</v>
      </c>
      <c r="O60" s="87">
        <v>0.971</v>
      </c>
      <c r="P60" s="87">
        <v>0.924</v>
      </c>
      <c r="Q60" s="87">
        <v>0.931</v>
      </c>
      <c r="R60" s="87">
        <v>0.971</v>
      </c>
      <c r="S60" s="87">
        <v>0.858</v>
      </c>
      <c r="T60" s="87">
        <v>0.797</v>
      </c>
      <c r="U60" s="130">
        <v>0.830575933655993</v>
      </c>
      <c r="V60" s="130">
        <v>0.8959630559292183</v>
      </c>
      <c r="W60" s="130">
        <v>0.958</v>
      </c>
      <c r="X60" s="130">
        <v>0.917</v>
      </c>
      <c r="Y60" s="130">
        <v>0.9582021661651111</v>
      </c>
      <c r="Z60" s="153">
        <v>0.9582021661651111</v>
      </c>
      <c r="AA60" s="153">
        <v>0.958</v>
      </c>
      <c r="AB60" s="153">
        <v>1</v>
      </c>
      <c r="AC60" s="155">
        <v>0.9016028495102404</v>
      </c>
      <c r="AD60" s="155" t="s">
        <v>199</v>
      </c>
      <c r="AE60" s="155">
        <v>0.967</v>
      </c>
      <c r="AF60" s="155" t="s">
        <v>201</v>
      </c>
      <c r="AG60" s="130">
        <v>1</v>
      </c>
      <c r="AH60" s="130">
        <v>0.9</v>
      </c>
      <c r="AI60" s="130" t="s">
        <v>199</v>
      </c>
      <c r="AJ60" s="130" t="s">
        <v>205</v>
      </c>
      <c r="AK60" s="130" t="s">
        <v>201</v>
      </c>
      <c r="AL60" s="130" t="s">
        <v>201</v>
      </c>
      <c r="AM60" s="130">
        <v>1</v>
      </c>
      <c r="AN60" s="130">
        <v>0.96</v>
      </c>
      <c r="AO60" s="130">
        <v>0.96</v>
      </c>
      <c r="AP60" s="130">
        <v>0.96</v>
      </c>
      <c r="AQ60" s="130">
        <v>0.96</v>
      </c>
      <c r="AR60" s="130">
        <v>0.96</v>
      </c>
      <c r="AS60" s="130">
        <v>0.92</v>
      </c>
      <c r="AT60" s="130">
        <v>0.92</v>
      </c>
      <c r="AU60" s="130">
        <v>0.93</v>
      </c>
      <c r="AV60" s="130" t="s">
        <v>202</v>
      </c>
      <c r="AW60" s="130" t="s">
        <v>223</v>
      </c>
      <c r="AX60" s="197">
        <v>0.9</v>
      </c>
      <c r="AY60" s="130" t="s">
        <v>254</v>
      </c>
      <c r="AZ60" s="198">
        <v>0.879</v>
      </c>
      <c r="BA60" s="198" t="s">
        <v>81</v>
      </c>
      <c r="BB60" s="198" t="s">
        <v>81</v>
      </c>
      <c r="BC60" s="198" t="s">
        <v>81</v>
      </c>
      <c r="BD60" s="198" t="s">
        <v>81</v>
      </c>
      <c r="BE60" s="188" t="s">
        <v>81</v>
      </c>
      <c r="BF60" s="197" t="s">
        <v>339</v>
      </c>
    </row>
    <row r="61" spans="1:58" ht="12.75">
      <c r="A61" s="52" t="s">
        <v>103</v>
      </c>
      <c r="B61" s="19"/>
      <c r="C61" s="85"/>
      <c r="D61" s="87"/>
      <c r="E61" s="87"/>
      <c r="F61" s="87"/>
      <c r="G61" s="87"/>
      <c r="H61" s="87"/>
      <c r="I61" s="87"/>
      <c r="J61" s="87">
        <v>0.949</v>
      </c>
      <c r="K61" s="87">
        <v>0.949</v>
      </c>
      <c r="L61" s="87">
        <v>0.761</v>
      </c>
      <c r="M61" s="87">
        <v>0.767</v>
      </c>
      <c r="N61" s="87">
        <v>0.752</v>
      </c>
      <c r="O61" s="87">
        <v>0.667</v>
      </c>
      <c r="P61" s="87">
        <v>0.662</v>
      </c>
      <c r="Q61" s="87">
        <v>0.713</v>
      </c>
      <c r="R61" s="87">
        <v>0.748</v>
      </c>
      <c r="S61" s="87">
        <v>0.757</v>
      </c>
      <c r="T61" s="87">
        <v>0.786</v>
      </c>
      <c r="U61" s="130">
        <v>0.8108510222976067</v>
      </c>
      <c r="V61" s="130">
        <v>0.8496294748380444</v>
      </c>
      <c r="W61" s="130">
        <v>0.856</v>
      </c>
      <c r="X61" s="130">
        <v>0.864</v>
      </c>
      <c r="Y61" s="130">
        <v>0.8842209445294528</v>
      </c>
      <c r="Z61" s="153">
        <v>0.9019617584963223</v>
      </c>
      <c r="AA61" s="153">
        <v>0.915</v>
      </c>
      <c r="AB61" s="153">
        <v>0.9087657913488641</v>
      </c>
      <c r="AC61" s="155" t="s">
        <v>81</v>
      </c>
      <c r="AD61" s="155" t="s">
        <v>81</v>
      </c>
      <c r="AE61" s="155" t="s">
        <v>81</v>
      </c>
      <c r="AF61" s="155" t="s">
        <v>81</v>
      </c>
      <c r="AG61" s="130" t="s">
        <v>81</v>
      </c>
      <c r="AH61" s="130" t="s">
        <v>81</v>
      </c>
      <c r="AI61" s="130" t="s">
        <v>81</v>
      </c>
      <c r="AJ61" s="130" t="s">
        <v>81</v>
      </c>
      <c r="AK61" s="130" t="s">
        <v>81</v>
      </c>
      <c r="AL61" s="130" t="s">
        <v>81</v>
      </c>
      <c r="AM61" s="130" t="s">
        <v>81</v>
      </c>
      <c r="AN61" s="130" t="s">
        <v>81</v>
      </c>
      <c r="AO61" s="130" t="s">
        <v>81</v>
      </c>
      <c r="AP61" s="130" t="s">
        <v>81</v>
      </c>
      <c r="AQ61" s="130" t="s">
        <v>81</v>
      </c>
      <c r="AR61" s="130" t="s">
        <v>81</v>
      </c>
      <c r="AS61" s="130" t="s">
        <v>81</v>
      </c>
      <c r="AT61" s="130" t="s">
        <v>81</v>
      </c>
      <c r="AU61" s="130" t="s">
        <v>81</v>
      </c>
      <c r="AV61" s="130" t="s">
        <v>81</v>
      </c>
      <c r="AW61" s="130" t="s">
        <v>81</v>
      </c>
      <c r="AX61" s="130" t="s">
        <v>81</v>
      </c>
      <c r="AY61" s="130" t="s">
        <v>81</v>
      </c>
      <c r="AZ61" s="130" t="s">
        <v>81</v>
      </c>
      <c r="BA61" s="130" t="s">
        <v>81</v>
      </c>
      <c r="BB61" s="130" t="s">
        <v>81</v>
      </c>
      <c r="BC61" s="130" t="s">
        <v>81</v>
      </c>
      <c r="BD61" s="130" t="s">
        <v>81</v>
      </c>
      <c r="BE61" s="188" t="s">
        <v>81</v>
      </c>
      <c r="BF61" s="197" t="s">
        <v>339</v>
      </c>
    </row>
    <row r="62" spans="1:58" ht="15">
      <c r="A62" s="52" t="s">
        <v>104</v>
      </c>
      <c r="B62" s="19"/>
      <c r="C62" s="85"/>
      <c r="D62" s="87"/>
      <c r="E62" s="87"/>
      <c r="F62" s="87"/>
      <c r="G62" s="87"/>
      <c r="H62" s="87"/>
      <c r="I62" s="87"/>
      <c r="J62" s="87"/>
      <c r="K62" s="87" t="s">
        <v>81</v>
      </c>
      <c r="L62" s="87" t="s">
        <v>81</v>
      </c>
      <c r="M62" s="87" t="s">
        <v>81</v>
      </c>
      <c r="N62" s="87" t="s">
        <v>81</v>
      </c>
      <c r="O62" s="87" t="s">
        <v>81</v>
      </c>
      <c r="P62" s="87" t="s">
        <v>81</v>
      </c>
      <c r="Q62" s="87">
        <v>1</v>
      </c>
      <c r="R62" s="87">
        <v>1</v>
      </c>
      <c r="S62" s="87">
        <v>1</v>
      </c>
      <c r="T62" s="87">
        <v>1</v>
      </c>
      <c r="U62" s="130">
        <v>0.9999996185918909</v>
      </c>
      <c r="V62" s="130">
        <v>0.9999996185918909</v>
      </c>
      <c r="W62" s="130">
        <v>1</v>
      </c>
      <c r="X62" s="130">
        <v>1</v>
      </c>
      <c r="Y62" s="130">
        <v>1</v>
      </c>
      <c r="Z62" s="153">
        <v>1</v>
      </c>
      <c r="AA62" s="153">
        <v>1</v>
      </c>
      <c r="AB62" s="153">
        <v>1</v>
      </c>
      <c r="AC62" s="155">
        <v>1</v>
      </c>
      <c r="AD62" s="155">
        <v>0.995</v>
      </c>
      <c r="AE62" s="155">
        <v>0.995</v>
      </c>
      <c r="AF62" s="155">
        <v>0.995</v>
      </c>
      <c r="AG62" s="130">
        <v>1</v>
      </c>
      <c r="AH62" s="130">
        <v>1</v>
      </c>
      <c r="AI62" s="130">
        <v>1</v>
      </c>
      <c r="AJ62" s="130">
        <v>1</v>
      </c>
      <c r="AK62" s="130" t="s">
        <v>154</v>
      </c>
      <c r="AL62" s="130" t="s">
        <v>154</v>
      </c>
      <c r="AM62" s="130" t="s">
        <v>154</v>
      </c>
      <c r="AN62" s="130" t="s">
        <v>207</v>
      </c>
      <c r="AO62" s="130">
        <v>0.95</v>
      </c>
      <c r="AP62" s="130" t="s">
        <v>202</v>
      </c>
      <c r="AQ62" s="130" t="s">
        <v>205</v>
      </c>
      <c r="AR62" s="130">
        <v>0.95</v>
      </c>
      <c r="AS62" s="130">
        <v>0.95</v>
      </c>
      <c r="AT62" s="130">
        <v>0.95</v>
      </c>
      <c r="AU62" s="130" t="s">
        <v>213</v>
      </c>
      <c r="AV62" s="130" t="s">
        <v>205</v>
      </c>
      <c r="AW62" s="130" t="s">
        <v>224</v>
      </c>
      <c r="AX62" s="130" t="s">
        <v>235</v>
      </c>
      <c r="AY62" s="130" t="s">
        <v>250</v>
      </c>
      <c r="AZ62" s="130" t="s">
        <v>262</v>
      </c>
      <c r="BA62" s="130" t="s">
        <v>276</v>
      </c>
      <c r="BB62" s="130" t="s">
        <v>290</v>
      </c>
      <c r="BC62" s="130" t="s">
        <v>297</v>
      </c>
      <c r="BD62" s="197" t="s">
        <v>303</v>
      </c>
      <c r="BE62" s="198" t="s">
        <v>324</v>
      </c>
      <c r="BF62" s="278" t="s">
        <v>341</v>
      </c>
    </row>
    <row r="63" spans="1:58" ht="15">
      <c r="A63" s="52" t="s">
        <v>105</v>
      </c>
      <c r="B63" s="19"/>
      <c r="C63" s="85"/>
      <c r="D63" s="87">
        <v>1</v>
      </c>
      <c r="E63" s="87">
        <v>1</v>
      </c>
      <c r="F63" s="87">
        <v>1</v>
      </c>
      <c r="G63" s="87">
        <v>1</v>
      </c>
      <c r="H63" s="87">
        <v>1</v>
      </c>
      <c r="I63" s="87">
        <v>1</v>
      </c>
      <c r="J63" s="87">
        <v>0.999</v>
      </c>
      <c r="K63" s="87">
        <v>0.999</v>
      </c>
      <c r="L63" s="87">
        <v>1</v>
      </c>
      <c r="M63" s="87">
        <v>1</v>
      </c>
      <c r="N63" s="87">
        <v>1</v>
      </c>
      <c r="O63" s="87">
        <v>0.999</v>
      </c>
      <c r="P63" s="87">
        <v>0.939</v>
      </c>
      <c r="Q63" s="87">
        <v>0.939</v>
      </c>
      <c r="R63" s="87">
        <v>0.94</v>
      </c>
      <c r="S63" s="87">
        <v>0.94</v>
      </c>
      <c r="T63" s="87">
        <v>0.94</v>
      </c>
      <c r="U63" s="130">
        <v>0.9800679581676105</v>
      </c>
      <c r="V63" s="130">
        <v>0.9251443107593794</v>
      </c>
      <c r="W63" s="130">
        <v>1</v>
      </c>
      <c r="X63" s="130">
        <v>0.999</v>
      </c>
      <c r="Y63" s="130">
        <v>0.9967521584644969</v>
      </c>
      <c r="Z63" s="153">
        <v>0.9650808008063944</v>
      </c>
      <c r="AA63" s="153">
        <v>0.959</v>
      </c>
      <c r="AB63" s="153">
        <v>0.9797969229693054</v>
      </c>
      <c r="AC63" s="155">
        <v>0.9642932321566297</v>
      </c>
      <c r="AD63" s="155">
        <v>0.964</v>
      </c>
      <c r="AE63" s="155">
        <v>0.99</v>
      </c>
      <c r="AF63" s="155">
        <v>0.99</v>
      </c>
      <c r="AG63" s="130">
        <v>0.94</v>
      </c>
      <c r="AH63" s="130">
        <v>0.933</v>
      </c>
      <c r="AI63" s="130" t="s">
        <v>203</v>
      </c>
      <c r="AJ63" s="130">
        <v>0.94</v>
      </c>
      <c r="AK63" s="130">
        <v>0.89</v>
      </c>
      <c r="AL63" s="130">
        <v>0.89</v>
      </c>
      <c r="AM63" s="130">
        <v>0.89</v>
      </c>
      <c r="AN63" s="130">
        <v>0.89</v>
      </c>
      <c r="AO63" s="130">
        <v>0.89</v>
      </c>
      <c r="AP63" s="130" t="s">
        <v>209</v>
      </c>
      <c r="AQ63" s="130" t="s">
        <v>209</v>
      </c>
      <c r="AR63" s="130" t="s">
        <v>209</v>
      </c>
      <c r="AS63" s="130" t="s">
        <v>209</v>
      </c>
      <c r="AT63" s="130">
        <v>0.8</v>
      </c>
      <c r="AU63" s="130" t="s">
        <v>214</v>
      </c>
      <c r="AV63" s="130" t="s">
        <v>219</v>
      </c>
      <c r="AW63" s="130" t="s">
        <v>225</v>
      </c>
      <c r="AX63" s="130" t="s">
        <v>238</v>
      </c>
      <c r="AY63" s="130" t="s">
        <v>251</v>
      </c>
      <c r="AZ63" s="130" t="s">
        <v>263</v>
      </c>
      <c r="BA63" s="130">
        <v>0.7</v>
      </c>
      <c r="BB63" s="198">
        <v>0.715</v>
      </c>
      <c r="BC63" s="130" t="s">
        <v>298</v>
      </c>
      <c r="BD63" s="197" t="s">
        <v>304</v>
      </c>
      <c r="BE63" s="198" t="s">
        <v>325</v>
      </c>
      <c r="BF63" s="278">
        <v>0.83</v>
      </c>
    </row>
    <row r="64" spans="1:58" ht="12.75">
      <c r="A64" s="52" t="s">
        <v>300</v>
      </c>
      <c r="B64" s="19"/>
      <c r="C64" s="85"/>
      <c r="D64" s="87"/>
      <c r="E64" s="87"/>
      <c r="F64" s="87"/>
      <c r="G64" s="87"/>
      <c r="H64" s="87">
        <v>1</v>
      </c>
      <c r="I64" s="87">
        <v>1</v>
      </c>
      <c r="J64" s="87">
        <v>1</v>
      </c>
      <c r="K64" s="87">
        <v>1</v>
      </c>
      <c r="L64" s="87">
        <v>1</v>
      </c>
      <c r="M64" s="87">
        <v>1</v>
      </c>
      <c r="N64" s="87">
        <v>1</v>
      </c>
      <c r="O64" s="87">
        <v>1</v>
      </c>
      <c r="P64" s="87">
        <v>1</v>
      </c>
      <c r="Q64" s="87">
        <v>1</v>
      </c>
      <c r="R64" s="87">
        <v>1</v>
      </c>
      <c r="S64" s="87">
        <v>1</v>
      </c>
      <c r="T64" s="87">
        <v>1</v>
      </c>
      <c r="U64" s="130">
        <v>1</v>
      </c>
      <c r="V64" s="130">
        <v>1</v>
      </c>
      <c r="W64" s="130">
        <v>1</v>
      </c>
      <c r="X64" s="130">
        <v>1</v>
      </c>
      <c r="Y64" s="130">
        <v>1</v>
      </c>
      <c r="Z64" s="153">
        <v>1</v>
      </c>
      <c r="AA64" s="153">
        <v>1</v>
      </c>
      <c r="AB64" s="153">
        <v>1</v>
      </c>
      <c r="AC64" s="155">
        <v>1</v>
      </c>
      <c r="AD64" s="155">
        <v>1</v>
      </c>
      <c r="AE64" s="155">
        <v>1</v>
      </c>
      <c r="AF64" s="155">
        <v>1</v>
      </c>
      <c r="AG64" s="130">
        <v>1</v>
      </c>
      <c r="AH64" s="130">
        <v>1</v>
      </c>
      <c r="AI64" s="130">
        <v>1</v>
      </c>
      <c r="AJ64" s="130">
        <v>1</v>
      </c>
      <c r="AK64" s="130">
        <v>1</v>
      </c>
      <c r="AL64" s="130">
        <v>1</v>
      </c>
      <c r="AM64" s="130">
        <v>1</v>
      </c>
      <c r="AN64" s="130">
        <v>1</v>
      </c>
      <c r="AO64" s="130">
        <v>1</v>
      </c>
      <c r="AP64" s="130">
        <v>1</v>
      </c>
      <c r="AQ64" s="130">
        <v>1</v>
      </c>
      <c r="AR64" s="130">
        <v>1</v>
      </c>
      <c r="AS64" s="130">
        <v>1</v>
      </c>
      <c r="AT64" s="130">
        <v>1</v>
      </c>
      <c r="AU64" s="130">
        <v>1</v>
      </c>
      <c r="AV64" s="130">
        <v>1</v>
      </c>
      <c r="AW64" s="130">
        <v>1</v>
      </c>
      <c r="AX64" s="197">
        <v>1</v>
      </c>
      <c r="AY64" s="197">
        <v>1</v>
      </c>
      <c r="AZ64" s="197">
        <v>1</v>
      </c>
      <c r="BA64" s="197">
        <v>1</v>
      </c>
      <c r="BB64" s="197">
        <v>1</v>
      </c>
      <c r="BC64" s="197">
        <v>1</v>
      </c>
      <c r="BD64" s="197">
        <v>1</v>
      </c>
      <c r="BE64" s="198">
        <v>1</v>
      </c>
      <c r="BF64" s="260">
        <v>1</v>
      </c>
    </row>
    <row r="65" spans="1:58" ht="15">
      <c r="A65" s="52" t="s">
        <v>178</v>
      </c>
      <c r="B65" s="19"/>
      <c r="C65" s="85"/>
      <c r="D65" s="87"/>
      <c r="E65" s="87"/>
      <c r="F65" s="87"/>
      <c r="G65" s="87"/>
      <c r="H65" s="87"/>
      <c r="I65" s="87"/>
      <c r="J65" s="87"/>
      <c r="K65" s="87" t="s">
        <v>81</v>
      </c>
      <c r="L65" s="87" t="s">
        <v>81</v>
      </c>
      <c r="M65" s="87" t="s">
        <v>81</v>
      </c>
      <c r="N65" s="87" t="s">
        <v>81</v>
      </c>
      <c r="O65" s="87" t="s">
        <v>81</v>
      </c>
      <c r="P65" s="87" t="s">
        <v>81</v>
      </c>
      <c r="Q65" s="87" t="s">
        <v>81</v>
      </c>
      <c r="R65" s="87" t="s">
        <v>81</v>
      </c>
      <c r="S65" s="87" t="s">
        <v>81</v>
      </c>
      <c r="T65" s="87" t="s">
        <v>81</v>
      </c>
      <c r="U65" s="87" t="s">
        <v>81</v>
      </c>
      <c r="V65" s="87" t="s">
        <v>81</v>
      </c>
      <c r="W65" s="87" t="s">
        <v>81</v>
      </c>
      <c r="X65" s="87" t="s">
        <v>81</v>
      </c>
      <c r="Y65" s="87" t="s">
        <v>81</v>
      </c>
      <c r="Z65" s="87" t="s">
        <v>81</v>
      </c>
      <c r="AA65" s="87" t="s">
        <v>81</v>
      </c>
      <c r="AB65" s="87" t="s">
        <v>81</v>
      </c>
      <c r="AC65" s="87" t="s">
        <v>81</v>
      </c>
      <c r="AD65" s="87" t="s">
        <v>81</v>
      </c>
      <c r="AE65" s="87" t="s">
        <v>81</v>
      </c>
      <c r="AF65" s="87" t="s">
        <v>81</v>
      </c>
      <c r="AG65" s="87" t="s">
        <v>81</v>
      </c>
      <c r="AH65" s="87" t="s">
        <v>81</v>
      </c>
      <c r="AI65" s="87" t="s">
        <v>81</v>
      </c>
      <c r="AJ65" s="87" t="s">
        <v>81</v>
      </c>
      <c r="AK65" s="87" t="s">
        <v>81</v>
      </c>
      <c r="AL65" s="87" t="s">
        <v>81</v>
      </c>
      <c r="AM65" s="87" t="s">
        <v>81</v>
      </c>
      <c r="AN65" s="130" t="s">
        <v>81</v>
      </c>
      <c r="AO65" s="130">
        <v>0.984</v>
      </c>
      <c r="AP65" s="130" t="s">
        <v>201</v>
      </c>
      <c r="AQ65" s="130">
        <v>1</v>
      </c>
      <c r="AR65" s="130">
        <v>1</v>
      </c>
      <c r="AS65" s="130">
        <v>1</v>
      </c>
      <c r="AT65" s="130">
        <v>1</v>
      </c>
      <c r="AU65" s="130">
        <v>1</v>
      </c>
      <c r="AV65" s="130">
        <v>1</v>
      </c>
      <c r="AW65" s="130">
        <v>1</v>
      </c>
      <c r="AX65" s="197">
        <v>0.989</v>
      </c>
      <c r="AY65" s="197">
        <v>0.981</v>
      </c>
      <c r="AZ65" s="197">
        <v>0.985</v>
      </c>
      <c r="BA65" s="197">
        <v>0.95</v>
      </c>
      <c r="BB65" s="130" t="s">
        <v>292</v>
      </c>
      <c r="BC65" s="198">
        <v>0.973</v>
      </c>
      <c r="BD65" s="197">
        <v>0.96</v>
      </c>
      <c r="BE65" s="198" t="s">
        <v>327</v>
      </c>
      <c r="BF65" s="278" t="s">
        <v>342</v>
      </c>
    </row>
    <row r="66" spans="1:58" ht="15">
      <c r="A66" s="52" t="s">
        <v>247</v>
      </c>
      <c r="B66" s="19"/>
      <c r="C66" s="85"/>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130"/>
      <c r="AO66" s="130"/>
      <c r="AP66" s="130"/>
      <c r="AQ66" s="130" t="s">
        <v>81</v>
      </c>
      <c r="AR66" s="130" t="s">
        <v>81</v>
      </c>
      <c r="AS66" s="130" t="s">
        <v>81</v>
      </c>
      <c r="AT66" s="130" t="s">
        <v>81</v>
      </c>
      <c r="AU66" s="130" t="s">
        <v>81</v>
      </c>
      <c r="AV66" s="130" t="s">
        <v>81</v>
      </c>
      <c r="AW66" s="130" t="s">
        <v>81</v>
      </c>
      <c r="AX66" s="130" t="s">
        <v>81</v>
      </c>
      <c r="AY66" s="198">
        <v>0.972</v>
      </c>
      <c r="AZ66" s="198">
        <v>0.981</v>
      </c>
      <c r="BA66" s="198">
        <v>0.981</v>
      </c>
      <c r="BB66" s="198">
        <v>0.981</v>
      </c>
      <c r="BC66" s="198">
        <v>0.98</v>
      </c>
      <c r="BD66" s="197">
        <v>0.974</v>
      </c>
      <c r="BE66" s="197" t="s">
        <v>329</v>
      </c>
      <c r="BF66" s="278">
        <v>0.991</v>
      </c>
    </row>
    <row r="67" spans="1:58" ht="12.75">
      <c r="A67" s="52" t="s">
        <v>136</v>
      </c>
      <c r="B67" s="19"/>
      <c r="C67" s="85"/>
      <c r="D67" s="87"/>
      <c r="E67" s="87"/>
      <c r="F67" s="87"/>
      <c r="G67" s="87"/>
      <c r="H67" s="87"/>
      <c r="I67" s="87">
        <v>1</v>
      </c>
      <c r="J67" s="87">
        <v>1</v>
      </c>
      <c r="K67" s="87">
        <v>1</v>
      </c>
      <c r="L67" s="87">
        <v>1</v>
      </c>
      <c r="M67" s="87">
        <v>1</v>
      </c>
      <c r="N67" s="87">
        <v>0.953</v>
      </c>
      <c r="O67" s="87">
        <v>0.628</v>
      </c>
      <c r="P67" s="87">
        <v>0.622</v>
      </c>
      <c r="Q67" s="87">
        <v>0.622</v>
      </c>
      <c r="R67" s="87">
        <v>0.622</v>
      </c>
      <c r="S67" s="87">
        <v>0.627</v>
      </c>
      <c r="T67" s="87">
        <v>0.651</v>
      </c>
      <c r="U67" s="130">
        <v>0.25626518845597934</v>
      </c>
      <c r="V67" s="130">
        <v>0.39327781504799264</v>
      </c>
      <c r="W67" s="87" t="s">
        <v>81</v>
      </c>
      <c r="X67" s="87" t="s">
        <v>81</v>
      </c>
      <c r="Y67" s="130" t="s">
        <v>81</v>
      </c>
      <c r="Z67" s="153" t="s">
        <v>81</v>
      </c>
      <c r="AA67" s="153" t="s">
        <v>81</v>
      </c>
      <c r="AB67" s="153" t="s">
        <v>81</v>
      </c>
      <c r="AC67" s="155" t="s">
        <v>81</v>
      </c>
      <c r="AD67" s="155" t="s">
        <v>81</v>
      </c>
      <c r="AE67" s="155" t="s">
        <v>81</v>
      </c>
      <c r="AF67" s="155" t="s">
        <v>81</v>
      </c>
      <c r="AG67" s="130" t="s">
        <v>81</v>
      </c>
      <c r="AH67" s="130" t="s">
        <v>81</v>
      </c>
      <c r="AI67" s="130" t="s">
        <v>81</v>
      </c>
      <c r="AJ67" s="130" t="s">
        <v>81</v>
      </c>
      <c r="AK67" s="130" t="s">
        <v>81</v>
      </c>
      <c r="AL67" s="130" t="s">
        <v>81</v>
      </c>
      <c r="AM67" s="130" t="s">
        <v>81</v>
      </c>
      <c r="AN67" s="130" t="s">
        <v>81</v>
      </c>
      <c r="AO67" s="130" t="s">
        <v>81</v>
      </c>
      <c r="AP67" s="130" t="s">
        <v>81</v>
      </c>
      <c r="AQ67" s="130" t="s">
        <v>81</v>
      </c>
      <c r="AR67" s="130" t="s">
        <v>81</v>
      </c>
      <c r="AS67" s="130" t="s">
        <v>81</v>
      </c>
      <c r="AT67" s="130" t="s">
        <v>81</v>
      </c>
      <c r="AU67" s="130" t="s">
        <v>81</v>
      </c>
      <c r="AV67" s="130" t="s">
        <v>81</v>
      </c>
      <c r="AW67" s="130" t="s">
        <v>81</v>
      </c>
      <c r="AX67" s="130" t="s">
        <v>81</v>
      </c>
      <c r="AY67" s="130" t="s">
        <v>81</v>
      </c>
      <c r="AZ67" s="130" t="s">
        <v>81</v>
      </c>
      <c r="BA67" s="130" t="s">
        <v>81</v>
      </c>
      <c r="BB67" s="130" t="s">
        <v>81</v>
      </c>
      <c r="BC67" s="130" t="s">
        <v>81</v>
      </c>
      <c r="BD67" s="130" t="s">
        <v>81</v>
      </c>
      <c r="BE67" s="188" t="s">
        <v>81</v>
      </c>
      <c r="BF67" s="188" t="s">
        <v>81</v>
      </c>
    </row>
    <row r="68" spans="1:58" ht="12.75">
      <c r="A68" s="52" t="s">
        <v>107</v>
      </c>
      <c r="B68" s="19"/>
      <c r="C68" s="85"/>
      <c r="D68" s="87"/>
      <c r="E68" s="87"/>
      <c r="F68" s="87"/>
      <c r="G68" s="87"/>
      <c r="H68" s="87"/>
      <c r="I68" s="87">
        <v>0.947</v>
      </c>
      <c r="J68" s="87">
        <v>0.947</v>
      </c>
      <c r="K68" s="87">
        <v>0.947</v>
      </c>
      <c r="L68" s="87">
        <v>0.938</v>
      </c>
      <c r="M68" s="87">
        <v>0.964</v>
      </c>
      <c r="N68" s="87">
        <v>0.948</v>
      </c>
      <c r="O68" s="87">
        <v>0.948</v>
      </c>
      <c r="P68" s="87">
        <v>0.911</v>
      </c>
      <c r="Q68" s="87">
        <v>0.921</v>
      </c>
      <c r="R68" s="87">
        <v>0.897</v>
      </c>
      <c r="S68" s="87">
        <v>0.817</v>
      </c>
      <c r="T68" s="87">
        <v>0.894</v>
      </c>
      <c r="U68" s="130">
        <v>0.8941936854191347</v>
      </c>
      <c r="V68" s="130">
        <v>0.8869202186365418</v>
      </c>
      <c r="W68" s="130">
        <v>0.887</v>
      </c>
      <c r="X68" s="130">
        <v>0.887</v>
      </c>
      <c r="Y68" s="130">
        <v>0.8941936854191348</v>
      </c>
      <c r="Z68" s="153">
        <v>0.8589481803689148</v>
      </c>
      <c r="AA68" s="153">
        <v>0.776</v>
      </c>
      <c r="AB68" s="153">
        <v>0.7424094401126222</v>
      </c>
      <c r="AC68" s="155">
        <v>0.6628142252230618</v>
      </c>
      <c r="AD68" s="155" t="s">
        <v>81</v>
      </c>
      <c r="AE68" s="155" t="s">
        <v>81</v>
      </c>
      <c r="AF68" s="155" t="s">
        <v>81</v>
      </c>
      <c r="AG68" s="130" t="s">
        <v>81</v>
      </c>
      <c r="AH68" s="130" t="s">
        <v>81</v>
      </c>
      <c r="AI68" s="130" t="s">
        <v>81</v>
      </c>
      <c r="AJ68" s="130" t="s">
        <v>81</v>
      </c>
      <c r="AK68" s="130" t="s">
        <v>81</v>
      </c>
      <c r="AL68" s="130" t="s">
        <v>81</v>
      </c>
      <c r="AM68" s="130" t="s">
        <v>81</v>
      </c>
      <c r="AN68" s="130" t="s">
        <v>81</v>
      </c>
      <c r="AO68" s="130" t="s">
        <v>81</v>
      </c>
      <c r="AP68" s="130" t="s">
        <v>81</v>
      </c>
      <c r="AQ68" s="130" t="s">
        <v>81</v>
      </c>
      <c r="AR68" s="130" t="s">
        <v>81</v>
      </c>
      <c r="AS68" s="130" t="s">
        <v>81</v>
      </c>
      <c r="AT68" s="130" t="s">
        <v>81</v>
      </c>
      <c r="AU68" s="130" t="s">
        <v>81</v>
      </c>
      <c r="AV68" s="130" t="s">
        <v>81</v>
      </c>
      <c r="AW68" s="130" t="s">
        <v>81</v>
      </c>
      <c r="AX68" s="130" t="s">
        <v>81</v>
      </c>
      <c r="AY68" s="130" t="s">
        <v>81</v>
      </c>
      <c r="AZ68" s="130" t="s">
        <v>81</v>
      </c>
      <c r="BA68" s="130" t="s">
        <v>81</v>
      </c>
      <c r="BB68" s="130" t="s">
        <v>81</v>
      </c>
      <c r="BC68" s="130" t="s">
        <v>81</v>
      </c>
      <c r="BD68" s="130" t="s">
        <v>81</v>
      </c>
      <c r="BE68" s="188" t="s">
        <v>81</v>
      </c>
      <c r="BF68" s="188" t="s">
        <v>81</v>
      </c>
    </row>
    <row r="69" spans="1:58" ht="12.75">
      <c r="A69" s="52" t="s">
        <v>108</v>
      </c>
      <c r="B69" s="19"/>
      <c r="C69" s="85"/>
      <c r="D69" s="87"/>
      <c r="E69" s="87"/>
      <c r="F69" s="87"/>
      <c r="G69" s="87"/>
      <c r="H69" s="87"/>
      <c r="I69" s="87">
        <v>1</v>
      </c>
      <c r="J69" s="87">
        <v>1</v>
      </c>
      <c r="K69" s="87">
        <v>1</v>
      </c>
      <c r="L69" s="87">
        <v>1</v>
      </c>
      <c r="M69" s="87">
        <v>1</v>
      </c>
      <c r="N69" s="87">
        <v>1</v>
      </c>
      <c r="O69" s="87">
        <v>1</v>
      </c>
      <c r="P69" s="87">
        <v>1</v>
      </c>
      <c r="Q69" s="87">
        <v>1</v>
      </c>
      <c r="R69" s="87">
        <v>1</v>
      </c>
      <c r="S69" s="87">
        <v>1</v>
      </c>
      <c r="T69" s="87">
        <v>1</v>
      </c>
      <c r="U69" s="130">
        <v>1</v>
      </c>
      <c r="V69" s="130">
        <v>1</v>
      </c>
      <c r="W69" s="130">
        <v>1</v>
      </c>
      <c r="X69" s="130">
        <v>1</v>
      </c>
      <c r="Y69" s="130">
        <v>1</v>
      </c>
      <c r="Z69" s="153">
        <v>1</v>
      </c>
      <c r="AA69" s="153">
        <v>1</v>
      </c>
      <c r="AB69" s="153">
        <v>0.9999999999999999</v>
      </c>
      <c r="AC69" s="155">
        <v>0.9999999999999999</v>
      </c>
      <c r="AD69" s="155" t="s">
        <v>81</v>
      </c>
      <c r="AE69" s="155" t="s">
        <v>81</v>
      </c>
      <c r="AF69" s="155" t="s">
        <v>81</v>
      </c>
      <c r="AG69" s="130" t="s">
        <v>81</v>
      </c>
      <c r="AH69" s="130" t="s">
        <v>81</v>
      </c>
      <c r="AI69" s="130" t="s">
        <v>81</v>
      </c>
      <c r="AJ69" s="130" t="s">
        <v>81</v>
      </c>
      <c r="AK69" s="130" t="s">
        <v>81</v>
      </c>
      <c r="AL69" s="130" t="s">
        <v>81</v>
      </c>
      <c r="AM69" s="130" t="s">
        <v>81</v>
      </c>
      <c r="AN69" s="130" t="s">
        <v>81</v>
      </c>
      <c r="AO69" s="130" t="s">
        <v>81</v>
      </c>
      <c r="AP69" s="130" t="s">
        <v>81</v>
      </c>
      <c r="AQ69" s="130" t="s">
        <v>81</v>
      </c>
      <c r="AR69" s="130" t="s">
        <v>81</v>
      </c>
      <c r="AS69" s="130" t="s">
        <v>81</v>
      </c>
      <c r="AT69" s="130" t="s">
        <v>81</v>
      </c>
      <c r="AU69" s="130" t="s">
        <v>81</v>
      </c>
      <c r="AV69" s="130" t="s">
        <v>81</v>
      </c>
      <c r="AW69" s="130" t="s">
        <v>81</v>
      </c>
      <c r="AX69" s="130" t="s">
        <v>81</v>
      </c>
      <c r="AY69" s="130" t="s">
        <v>81</v>
      </c>
      <c r="AZ69" s="130" t="s">
        <v>81</v>
      </c>
      <c r="BA69" s="130" t="s">
        <v>81</v>
      </c>
      <c r="BB69" s="130" t="s">
        <v>81</v>
      </c>
      <c r="BC69" s="130" t="s">
        <v>81</v>
      </c>
      <c r="BD69" s="130" t="s">
        <v>81</v>
      </c>
      <c r="BE69" s="188" t="s">
        <v>81</v>
      </c>
      <c r="BF69" s="188" t="s">
        <v>81</v>
      </c>
    </row>
    <row r="70" spans="1:58" s="19" customFormat="1" ht="12.75">
      <c r="A70" s="52" t="s">
        <v>109</v>
      </c>
      <c r="C70" s="86"/>
      <c r="D70" s="87"/>
      <c r="E70" s="87"/>
      <c r="F70" s="87"/>
      <c r="G70" s="87"/>
      <c r="H70" s="87"/>
      <c r="I70" s="87">
        <v>1</v>
      </c>
      <c r="J70" s="87">
        <v>1</v>
      </c>
      <c r="K70" s="87">
        <v>1</v>
      </c>
      <c r="L70" s="87">
        <v>1</v>
      </c>
      <c r="M70" s="87">
        <v>1</v>
      </c>
      <c r="N70" s="87">
        <v>1</v>
      </c>
      <c r="O70" s="87">
        <v>1</v>
      </c>
      <c r="P70" s="87">
        <v>1</v>
      </c>
      <c r="Q70" s="87">
        <v>1</v>
      </c>
      <c r="R70" s="87">
        <v>1</v>
      </c>
      <c r="S70" s="87">
        <v>1</v>
      </c>
      <c r="T70" s="87">
        <v>1</v>
      </c>
      <c r="U70" s="130">
        <v>1</v>
      </c>
      <c r="V70" s="130">
        <v>1</v>
      </c>
      <c r="W70" s="130">
        <v>1</v>
      </c>
      <c r="X70" s="130">
        <v>1</v>
      </c>
      <c r="Y70" s="130">
        <v>1</v>
      </c>
      <c r="Z70" s="154">
        <v>1</v>
      </c>
      <c r="AA70" s="154">
        <v>1</v>
      </c>
      <c r="AB70" s="154">
        <v>1</v>
      </c>
      <c r="AC70" s="154">
        <v>1</v>
      </c>
      <c r="AD70" s="154" t="s">
        <v>81</v>
      </c>
      <c r="AE70" s="154" t="s">
        <v>81</v>
      </c>
      <c r="AF70" s="154" t="s">
        <v>81</v>
      </c>
      <c r="AG70" s="171" t="s">
        <v>81</v>
      </c>
      <c r="AH70" s="171" t="s">
        <v>81</v>
      </c>
      <c r="AI70" s="171" t="s">
        <v>81</v>
      </c>
      <c r="AJ70" s="171" t="s">
        <v>81</v>
      </c>
      <c r="AK70" s="171" t="s">
        <v>81</v>
      </c>
      <c r="AL70" s="171" t="s">
        <v>81</v>
      </c>
      <c r="AM70" s="171" t="s">
        <v>81</v>
      </c>
      <c r="AN70" s="171" t="s">
        <v>81</v>
      </c>
      <c r="AO70" s="171" t="s">
        <v>81</v>
      </c>
      <c r="AP70" s="171" t="s">
        <v>81</v>
      </c>
      <c r="AQ70" s="171" t="s">
        <v>81</v>
      </c>
      <c r="AR70" s="171" t="s">
        <v>81</v>
      </c>
      <c r="AS70" s="171" t="s">
        <v>81</v>
      </c>
      <c r="AT70" s="171" t="s">
        <v>81</v>
      </c>
      <c r="AU70" s="171" t="s">
        <v>81</v>
      </c>
      <c r="AV70" s="171" t="s">
        <v>81</v>
      </c>
      <c r="AW70" s="171" t="s">
        <v>81</v>
      </c>
      <c r="AX70" s="171" t="s">
        <v>81</v>
      </c>
      <c r="AY70" s="171" t="s">
        <v>81</v>
      </c>
      <c r="AZ70" s="171" t="s">
        <v>81</v>
      </c>
      <c r="BA70" s="171" t="s">
        <v>81</v>
      </c>
      <c r="BB70" s="171" t="s">
        <v>81</v>
      </c>
      <c r="BC70" s="171" t="s">
        <v>81</v>
      </c>
      <c r="BD70" s="171" t="s">
        <v>81</v>
      </c>
      <c r="BE70" s="188" t="s">
        <v>81</v>
      </c>
      <c r="BF70" s="188" t="s">
        <v>81</v>
      </c>
    </row>
    <row r="71" spans="1:58" s="19" customFormat="1" ht="15">
      <c r="A71" s="88" t="s">
        <v>42</v>
      </c>
      <c r="B71" s="89"/>
      <c r="C71" s="90"/>
      <c r="D71" s="91">
        <v>1</v>
      </c>
      <c r="E71" s="91">
        <v>1</v>
      </c>
      <c r="F71" s="91">
        <v>1</v>
      </c>
      <c r="G71" s="91">
        <v>1</v>
      </c>
      <c r="H71" s="91">
        <v>1</v>
      </c>
      <c r="I71" s="91">
        <v>1</v>
      </c>
      <c r="J71" s="91">
        <v>0.979</v>
      </c>
      <c r="K71" s="91">
        <v>0.979</v>
      </c>
      <c r="L71" s="91">
        <v>0.901</v>
      </c>
      <c r="M71" s="91">
        <v>0.904</v>
      </c>
      <c r="N71" s="91">
        <v>0.898</v>
      </c>
      <c r="O71" s="91">
        <v>0.96</v>
      </c>
      <c r="P71" s="91">
        <v>0.853</v>
      </c>
      <c r="Q71" s="91">
        <v>0.948</v>
      </c>
      <c r="R71" s="91">
        <v>0.955</v>
      </c>
      <c r="S71" s="91">
        <v>0.952</v>
      </c>
      <c r="T71" s="91">
        <v>0.955</v>
      </c>
      <c r="U71" s="131">
        <v>0.9606095296729271</v>
      </c>
      <c r="V71" s="131">
        <v>0.9699101778626839</v>
      </c>
      <c r="W71" s="131">
        <v>0.974</v>
      </c>
      <c r="X71" s="131">
        <v>0.973</v>
      </c>
      <c r="Y71" s="131">
        <v>0.9783793135072377</v>
      </c>
      <c r="Z71" s="155">
        <v>0.9814355688980979</v>
      </c>
      <c r="AA71" s="155">
        <v>0.966</v>
      </c>
      <c r="AB71" s="155">
        <v>0.969145338511117</v>
      </c>
      <c r="AC71" s="155">
        <v>0.9310180521512725</v>
      </c>
      <c r="AD71" s="155">
        <v>0.926</v>
      </c>
      <c r="AE71" s="155">
        <v>0.931</v>
      </c>
      <c r="AF71" s="155">
        <v>0.974</v>
      </c>
      <c r="AG71" s="131">
        <v>0.984</v>
      </c>
      <c r="AH71" s="131">
        <v>0.971</v>
      </c>
      <c r="AI71" s="131">
        <v>0.979</v>
      </c>
      <c r="AJ71" s="131">
        <v>0.984</v>
      </c>
      <c r="AK71" s="131">
        <v>0.974</v>
      </c>
      <c r="AL71" s="131">
        <v>0.975</v>
      </c>
      <c r="AM71" s="131">
        <v>0.973</v>
      </c>
      <c r="AN71" s="131">
        <v>0.973</v>
      </c>
      <c r="AO71" s="131">
        <v>0.95</v>
      </c>
      <c r="AP71" s="131">
        <v>0.927</v>
      </c>
      <c r="AQ71" s="131">
        <v>0.927</v>
      </c>
      <c r="AR71" s="131">
        <v>0.932</v>
      </c>
      <c r="AS71" s="131">
        <v>0.925</v>
      </c>
      <c r="AT71" s="131">
        <v>0.923</v>
      </c>
      <c r="AU71" s="130">
        <v>0.89</v>
      </c>
      <c r="AV71" s="130" t="s">
        <v>213</v>
      </c>
      <c r="AW71" s="130" t="s">
        <v>230</v>
      </c>
      <c r="AX71" s="131" t="s">
        <v>236</v>
      </c>
      <c r="AY71" s="131" t="s">
        <v>255</v>
      </c>
      <c r="AZ71" s="131" t="s">
        <v>265</v>
      </c>
      <c r="BA71" s="131" t="s">
        <v>286</v>
      </c>
      <c r="BB71" s="131" t="s">
        <v>291</v>
      </c>
      <c r="BC71" s="131" t="s">
        <v>299</v>
      </c>
      <c r="BD71" s="215">
        <v>0.939</v>
      </c>
      <c r="BE71" s="240">
        <v>0.949</v>
      </c>
      <c r="BF71" s="240">
        <v>0.955</v>
      </c>
    </row>
    <row r="72" spans="1:58" s="19" customFormat="1" ht="15">
      <c r="A72" s="52" t="s">
        <v>43</v>
      </c>
      <c r="C72" s="86"/>
      <c r="D72" s="120">
        <v>1</v>
      </c>
      <c r="E72" s="120">
        <v>1</v>
      </c>
      <c r="F72" s="120">
        <v>1</v>
      </c>
      <c r="G72" s="120">
        <v>1</v>
      </c>
      <c r="H72" s="120">
        <v>1</v>
      </c>
      <c r="I72" s="120">
        <v>1</v>
      </c>
      <c r="J72" s="120">
        <v>0.999</v>
      </c>
      <c r="K72" s="120">
        <v>0.999</v>
      </c>
      <c r="L72" s="120">
        <v>1</v>
      </c>
      <c r="M72" s="120">
        <v>1</v>
      </c>
      <c r="N72" s="120">
        <v>1</v>
      </c>
      <c r="O72" s="120">
        <v>0.999</v>
      </c>
      <c r="P72" s="120">
        <v>0.962</v>
      </c>
      <c r="Q72" s="120">
        <v>0.963</v>
      </c>
      <c r="R72" s="120">
        <v>0.963</v>
      </c>
      <c r="S72" s="120">
        <v>0.963</v>
      </c>
      <c r="T72" s="120">
        <v>0.963</v>
      </c>
      <c r="U72" s="133">
        <v>0.9875988342584998</v>
      </c>
      <c r="V72" s="133">
        <v>0.9534268582830945</v>
      </c>
      <c r="W72" s="133">
        <v>1</v>
      </c>
      <c r="X72" s="133">
        <v>0.999</v>
      </c>
      <c r="Y72" s="130">
        <v>0.9979790523567181</v>
      </c>
      <c r="Z72" s="155">
        <v>0.9782717621706012</v>
      </c>
      <c r="AA72" s="155">
        <v>0.975</v>
      </c>
      <c r="AB72" s="155">
        <v>0.9908724646075576</v>
      </c>
      <c r="AC72" s="155">
        <v>0.9838571752793275</v>
      </c>
      <c r="AD72" s="155">
        <v>0.984</v>
      </c>
      <c r="AE72" s="155">
        <v>0.995</v>
      </c>
      <c r="AF72" s="155">
        <v>0.995</v>
      </c>
      <c r="AG72" s="130">
        <v>0.971</v>
      </c>
      <c r="AH72" s="130">
        <v>0.97</v>
      </c>
      <c r="AI72" s="130">
        <v>0.97</v>
      </c>
      <c r="AJ72" s="130">
        <v>0.973</v>
      </c>
      <c r="AK72" s="130">
        <v>0.949</v>
      </c>
      <c r="AL72" s="130">
        <v>0.949</v>
      </c>
      <c r="AM72" s="130">
        <v>0.949</v>
      </c>
      <c r="AN72" s="130">
        <v>0.949</v>
      </c>
      <c r="AO72" s="130">
        <v>0.959</v>
      </c>
      <c r="AP72" s="130">
        <v>0.93</v>
      </c>
      <c r="AQ72" s="130">
        <v>0.93</v>
      </c>
      <c r="AR72" s="130">
        <v>0.934</v>
      </c>
      <c r="AS72" s="130">
        <v>0.938</v>
      </c>
      <c r="AT72" s="130">
        <v>0.938</v>
      </c>
      <c r="AU72" s="130">
        <v>0.95</v>
      </c>
      <c r="AV72" s="130" t="s">
        <v>203</v>
      </c>
      <c r="AW72" s="130" t="s">
        <v>231</v>
      </c>
      <c r="AX72" s="133">
        <v>0.907</v>
      </c>
      <c r="AY72" s="133">
        <v>0.895</v>
      </c>
      <c r="AZ72" s="133">
        <v>0.901</v>
      </c>
      <c r="BA72" s="215">
        <v>0.89</v>
      </c>
      <c r="BB72" s="215">
        <v>0.907</v>
      </c>
      <c r="BC72" s="215">
        <v>0.94</v>
      </c>
      <c r="BD72" s="215">
        <v>0.935</v>
      </c>
      <c r="BE72" s="198">
        <v>0.945</v>
      </c>
      <c r="BF72" s="198">
        <v>0.94</v>
      </c>
    </row>
    <row r="73" spans="1:58" s="19" customFormat="1" ht="12.75">
      <c r="A73" s="52" t="s">
        <v>44</v>
      </c>
      <c r="C73" s="86"/>
      <c r="D73" s="87"/>
      <c r="E73" s="87"/>
      <c r="F73" s="87"/>
      <c r="G73" s="87"/>
      <c r="H73" s="87"/>
      <c r="I73" s="87">
        <v>0.986</v>
      </c>
      <c r="J73" s="87">
        <v>0.986</v>
      </c>
      <c r="K73" s="87">
        <v>0.986</v>
      </c>
      <c r="L73" s="87">
        <v>0.983</v>
      </c>
      <c r="M73" s="87">
        <v>0.99</v>
      </c>
      <c r="N73" s="87">
        <v>0.959</v>
      </c>
      <c r="O73" s="87">
        <v>0.778</v>
      </c>
      <c r="P73" s="87">
        <v>0.764</v>
      </c>
      <c r="Q73" s="87">
        <v>0.767</v>
      </c>
      <c r="R73" s="87">
        <v>0.761</v>
      </c>
      <c r="S73" s="87">
        <v>0.742</v>
      </c>
      <c r="T73" s="87">
        <v>0.776</v>
      </c>
      <c r="U73" s="130">
        <v>0.5553440783904551</v>
      </c>
      <c r="V73" s="130">
        <v>0.6320222848696874</v>
      </c>
      <c r="W73" s="130">
        <v>0.93</v>
      </c>
      <c r="X73" s="130">
        <v>0.93</v>
      </c>
      <c r="Y73" s="130">
        <v>0.9355937787316585</v>
      </c>
      <c r="Z73" s="155">
        <v>0.9141711689309833</v>
      </c>
      <c r="AA73" s="155">
        <v>0.864</v>
      </c>
      <c r="AB73" s="155">
        <v>0.843258337911758</v>
      </c>
      <c r="AC73" s="155">
        <v>0.7948253274725744</v>
      </c>
      <c r="AD73" s="155" t="s">
        <v>81</v>
      </c>
      <c r="AE73" s="155" t="s">
        <v>81</v>
      </c>
      <c r="AF73" s="155" t="s">
        <v>81</v>
      </c>
      <c r="AG73" s="130" t="s">
        <v>81</v>
      </c>
      <c r="AH73" s="130" t="s">
        <v>81</v>
      </c>
      <c r="AI73" s="130" t="s">
        <v>81</v>
      </c>
      <c r="AJ73" s="130" t="s">
        <v>81</v>
      </c>
      <c r="AK73" s="130" t="s">
        <v>81</v>
      </c>
      <c r="AL73" s="130" t="s">
        <v>81</v>
      </c>
      <c r="AM73" s="130" t="s">
        <v>81</v>
      </c>
      <c r="AN73" s="130" t="s">
        <v>81</v>
      </c>
      <c r="AO73" s="130" t="s">
        <v>81</v>
      </c>
      <c r="AP73" s="130" t="s">
        <v>81</v>
      </c>
      <c r="AQ73" s="130" t="s">
        <v>81</v>
      </c>
      <c r="AR73" s="130" t="s">
        <v>81</v>
      </c>
      <c r="AS73" s="130" t="s">
        <v>81</v>
      </c>
      <c r="AT73" s="130" t="s">
        <v>81</v>
      </c>
      <c r="AU73" s="130" t="s">
        <v>81</v>
      </c>
      <c r="AV73" s="130" t="s">
        <v>81</v>
      </c>
      <c r="AW73" s="130" t="s">
        <v>81</v>
      </c>
      <c r="AX73" s="130" t="s">
        <v>81</v>
      </c>
      <c r="AY73" s="130" t="s">
        <v>81</v>
      </c>
      <c r="AZ73" s="130" t="s">
        <v>81</v>
      </c>
      <c r="BA73" s="198" t="s">
        <v>81</v>
      </c>
      <c r="BB73" s="198" t="s">
        <v>81</v>
      </c>
      <c r="BC73" s="198" t="s">
        <v>81</v>
      </c>
      <c r="BD73" s="198" t="s">
        <v>81</v>
      </c>
      <c r="BE73" s="198" t="s">
        <v>318</v>
      </c>
      <c r="BF73" s="198" t="s">
        <v>339</v>
      </c>
    </row>
    <row r="74" spans="1:58" s="19" customFormat="1" ht="12.75">
      <c r="A74" s="52" t="s">
        <v>285</v>
      </c>
      <c r="C74" s="86"/>
      <c r="D74" s="87"/>
      <c r="E74" s="87"/>
      <c r="F74" s="87"/>
      <c r="G74" s="87"/>
      <c r="H74" s="87"/>
      <c r="I74" s="87"/>
      <c r="J74" s="87"/>
      <c r="K74" s="87"/>
      <c r="L74" s="87"/>
      <c r="M74" s="87"/>
      <c r="N74" s="87"/>
      <c r="O74" s="87"/>
      <c r="P74" s="87"/>
      <c r="Q74" s="87"/>
      <c r="R74" s="87"/>
      <c r="S74" s="87"/>
      <c r="T74" s="87"/>
      <c r="U74" s="130"/>
      <c r="V74" s="130"/>
      <c r="W74" s="130"/>
      <c r="X74" s="130"/>
      <c r="Y74" s="130"/>
      <c r="Z74" s="155"/>
      <c r="AA74" s="155"/>
      <c r="AB74" s="155"/>
      <c r="AC74" s="155"/>
      <c r="AD74" s="155"/>
      <c r="AE74" s="155"/>
      <c r="AF74" s="155"/>
      <c r="AG74" s="130"/>
      <c r="AH74" s="130"/>
      <c r="AI74" s="130"/>
      <c r="AJ74" s="130"/>
      <c r="AK74" s="130"/>
      <c r="AL74" s="130"/>
      <c r="AM74" s="130"/>
      <c r="AN74" s="130"/>
      <c r="AO74" s="130"/>
      <c r="AP74" s="130"/>
      <c r="AQ74" s="130"/>
      <c r="AR74" s="130"/>
      <c r="AS74" s="130"/>
      <c r="AT74" s="130"/>
      <c r="AU74" s="130"/>
      <c r="AV74" s="130"/>
      <c r="AW74" s="130"/>
      <c r="AX74" s="213"/>
      <c r="AY74" s="130">
        <v>0.972</v>
      </c>
      <c r="AZ74" s="130">
        <v>0.981</v>
      </c>
      <c r="BA74" s="198">
        <v>0.981</v>
      </c>
      <c r="BB74" s="198">
        <v>0.981</v>
      </c>
      <c r="BC74" s="198">
        <v>0.98</v>
      </c>
      <c r="BD74" s="215">
        <v>0.974</v>
      </c>
      <c r="BE74" s="198">
        <v>0.974</v>
      </c>
      <c r="BF74" s="198">
        <v>0.991</v>
      </c>
    </row>
    <row r="75" spans="1:58" ht="15.75" thickBot="1">
      <c r="A75" s="92" t="s">
        <v>29</v>
      </c>
      <c r="B75" s="93"/>
      <c r="C75" s="94"/>
      <c r="D75" s="95">
        <v>1</v>
      </c>
      <c r="E75" s="95">
        <v>1</v>
      </c>
      <c r="F75" s="95">
        <v>1</v>
      </c>
      <c r="G75" s="95">
        <v>1</v>
      </c>
      <c r="H75" s="95">
        <v>1</v>
      </c>
      <c r="I75" s="95">
        <v>0.996</v>
      </c>
      <c r="J75" s="95">
        <v>0.987</v>
      </c>
      <c r="K75" s="95">
        <v>0.987</v>
      </c>
      <c r="L75" s="95">
        <v>0.953</v>
      </c>
      <c r="M75" s="95">
        <v>0.956</v>
      </c>
      <c r="N75" s="95">
        <v>0.946</v>
      </c>
      <c r="O75" s="95">
        <v>0.887</v>
      </c>
      <c r="P75" s="95">
        <v>0.869</v>
      </c>
      <c r="Q75" s="95">
        <v>0.925</v>
      </c>
      <c r="R75" s="95">
        <v>0.929</v>
      </c>
      <c r="S75" s="95">
        <v>0.924</v>
      </c>
      <c r="T75" s="95">
        <v>0.931</v>
      </c>
      <c r="U75" s="132">
        <v>0.9076520769953529</v>
      </c>
      <c r="V75" s="132">
        <v>0.9180471638950674</v>
      </c>
      <c r="W75" s="132">
        <v>0.977</v>
      </c>
      <c r="X75" s="132">
        <v>0.976</v>
      </c>
      <c r="Y75" s="132">
        <v>0.9797948639702854</v>
      </c>
      <c r="Z75" s="156">
        <v>0.9760264540178678</v>
      </c>
      <c r="AA75" s="156">
        <v>0.961</v>
      </c>
      <c r="AB75" s="156">
        <v>0.9672446966966598</v>
      </c>
      <c r="AC75" s="160">
        <v>0.9381490560380028</v>
      </c>
      <c r="AD75" s="160">
        <v>0.946</v>
      </c>
      <c r="AE75" s="160">
        <v>0.953</v>
      </c>
      <c r="AF75" s="160">
        <v>0.981</v>
      </c>
      <c r="AG75" s="132">
        <v>0.979</v>
      </c>
      <c r="AH75" s="132">
        <v>0.971</v>
      </c>
      <c r="AI75" s="132">
        <v>0.975</v>
      </c>
      <c r="AJ75" s="132">
        <v>0.98</v>
      </c>
      <c r="AK75" s="132">
        <v>0.97</v>
      </c>
      <c r="AL75" s="132">
        <v>0.97</v>
      </c>
      <c r="AM75" s="132">
        <v>0.965</v>
      </c>
      <c r="AN75" s="132">
        <v>0.965</v>
      </c>
      <c r="AO75" s="132">
        <v>0.954</v>
      </c>
      <c r="AP75" s="132">
        <v>0.929</v>
      </c>
      <c r="AQ75" s="132">
        <v>0.929</v>
      </c>
      <c r="AR75" s="132">
        <v>0.933</v>
      </c>
      <c r="AS75" s="132">
        <v>0.93</v>
      </c>
      <c r="AT75" s="132">
        <v>0.93</v>
      </c>
      <c r="AU75" s="132" t="s">
        <v>200</v>
      </c>
      <c r="AV75" s="132" t="s">
        <v>202</v>
      </c>
      <c r="AW75" s="132" t="s">
        <v>232</v>
      </c>
      <c r="AX75" s="132" t="s">
        <v>237</v>
      </c>
      <c r="AY75" s="132" t="s">
        <v>256</v>
      </c>
      <c r="AZ75" s="132" t="s">
        <v>266</v>
      </c>
      <c r="BA75" s="217">
        <v>0.834</v>
      </c>
      <c r="BB75" s="217">
        <v>0.834</v>
      </c>
      <c r="BC75" s="217">
        <v>0.815</v>
      </c>
      <c r="BD75" s="217">
        <v>0.941</v>
      </c>
      <c r="BE75" s="217" t="s">
        <v>326</v>
      </c>
      <c r="BF75" s="217">
        <v>0.952</v>
      </c>
    </row>
    <row r="76" spans="1:55" ht="13.5" thickTop="1">
      <c r="A76" s="19"/>
      <c r="B76" s="19"/>
      <c r="D76" s="6"/>
      <c r="E76" s="6"/>
      <c r="F76" s="6"/>
      <c r="G76" s="6"/>
      <c r="H76" s="6"/>
      <c r="I76" s="6"/>
      <c r="J76" s="63"/>
      <c r="R76" s="19"/>
      <c r="S76" s="19"/>
      <c r="AC76" s="19"/>
      <c r="AD76" s="19"/>
      <c r="AF76" s="19"/>
      <c r="BC76" s="19"/>
    </row>
    <row r="77" spans="1:30" ht="12.75">
      <c r="A77" s="26" t="s">
        <v>14</v>
      </c>
      <c r="B77" s="26"/>
      <c r="AC77" s="19"/>
      <c r="AD77" s="19"/>
    </row>
    <row r="78" spans="1:2" ht="12.75">
      <c r="A78" s="37">
        <v>1</v>
      </c>
      <c r="B78" s="36" t="s">
        <v>40</v>
      </c>
    </row>
    <row r="79" spans="1:2" ht="12.75">
      <c r="A79" s="37">
        <v>2</v>
      </c>
      <c r="B79" s="36" t="s">
        <v>19</v>
      </c>
    </row>
    <row r="80" spans="1:2" ht="12.75">
      <c r="A80" s="37">
        <v>3</v>
      </c>
      <c r="B80" s="36" t="s">
        <v>206</v>
      </c>
    </row>
    <row r="81" spans="1:23" ht="21.75" customHeight="1">
      <c r="A81" s="37">
        <v>4</v>
      </c>
      <c r="B81" s="266" t="s">
        <v>148</v>
      </c>
      <c r="C81" s="266"/>
      <c r="D81" s="266"/>
      <c r="E81" s="266"/>
      <c r="F81" s="266"/>
      <c r="G81" s="266"/>
      <c r="H81" s="266"/>
      <c r="I81" s="266"/>
      <c r="J81" s="266"/>
      <c r="K81" s="266"/>
      <c r="L81" s="266"/>
      <c r="M81" s="266"/>
      <c r="N81" s="266"/>
      <c r="O81" s="266"/>
      <c r="P81" s="266"/>
      <c r="Q81" s="266"/>
      <c r="R81" s="266"/>
      <c r="S81" s="266"/>
      <c r="T81" s="266"/>
      <c r="U81" s="266"/>
      <c r="V81" s="266"/>
      <c r="W81" s="266"/>
    </row>
    <row r="82" spans="1:11" ht="12.75">
      <c r="A82" s="37">
        <v>5</v>
      </c>
      <c r="B82" s="36" t="s">
        <v>155</v>
      </c>
      <c r="C82" s="139"/>
      <c r="D82" s="139"/>
      <c r="E82" s="139"/>
      <c r="F82" s="139"/>
      <c r="G82" s="139"/>
      <c r="H82" s="139"/>
      <c r="I82" s="139"/>
      <c r="J82" s="139"/>
      <c r="K82" s="139"/>
    </row>
    <row r="83" spans="1:11" ht="12.75">
      <c r="A83" s="37">
        <v>6</v>
      </c>
      <c r="B83" s="36" t="s">
        <v>166</v>
      </c>
      <c r="C83" s="139"/>
      <c r="D83" s="139"/>
      <c r="E83" s="139"/>
      <c r="F83" s="139"/>
      <c r="G83" s="139"/>
      <c r="H83" s="139"/>
      <c r="I83" s="139"/>
      <c r="J83" s="139"/>
      <c r="K83" s="139"/>
    </row>
    <row r="84" spans="1:10" ht="12.75">
      <c r="A84" s="37">
        <v>7</v>
      </c>
      <c r="B84" s="36" t="s">
        <v>167</v>
      </c>
      <c r="C84" s="7"/>
      <c r="H84" s="6"/>
      <c r="I84" s="19"/>
      <c r="J84" s="6"/>
    </row>
    <row r="85" spans="1:10" ht="12.75">
      <c r="A85" s="37">
        <v>8</v>
      </c>
      <c r="B85" s="36" t="s">
        <v>180</v>
      </c>
      <c r="C85" s="7"/>
      <c r="H85" s="6"/>
      <c r="I85" s="19"/>
      <c r="J85" s="6"/>
    </row>
    <row r="86" spans="1:13" ht="12.75">
      <c r="A86" s="37">
        <v>9</v>
      </c>
      <c r="B86" s="267" t="s">
        <v>226</v>
      </c>
      <c r="C86" s="267"/>
      <c r="D86" s="267"/>
      <c r="E86" s="267"/>
      <c r="F86" s="267"/>
      <c r="G86" s="267"/>
      <c r="H86" s="267"/>
      <c r="I86" s="267"/>
      <c r="J86" s="267"/>
      <c r="K86" s="267"/>
      <c r="L86" s="267"/>
      <c r="M86" s="267"/>
    </row>
    <row r="87" spans="1:13" ht="12.75">
      <c r="A87" s="37">
        <v>10</v>
      </c>
      <c r="B87" s="266" t="s">
        <v>229</v>
      </c>
      <c r="C87" s="266"/>
      <c r="D87" s="266"/>
      <c r="E87" s="266"/>
      <c r="F87" s="266"/>
      <c r="G87" s="266"/>
      <c r="H87" s="266"/>
      <c r="I87" s="266"/>
      <c r="J87" s="266"/>
      <c r="K87" s="266"/>
      <c r="L87" s="266"/>
      <c r="M87" s="266"/>
    </row>
    <row r="88" spans="1:23" ht="31.5" customHeight="1">
      <c r="A88" s="37">
        <v>11</v>
      </c>
      <c r="B88" s="267" t="s">
        <v>227</v>
      </c>
      <c r="C88" s="267"/>
      <c r="D88" s="267"/>
      <c r="E88" s="267"/>
      <c r="F88" s="267"/>
      <c r="G88" s="267"/>
      <c r="H88" s="267"/>
      <c r="I88" s="267"/>
      <c r="J88" s="267"/>
      <c r="K88" s="267"/>
      <c r="L88" s="267"/>
      <c r="M88" s="267"/>
      <c r="N88" s="267"/>
      <c r="O88" s="267"/>
      <c r="P88" s="267"/>
      <c r="Q88" s="267"/>
      <c r="R88" s="267"/>
      <c r="S88" s="267"/>
      <c r="T88" s="267"/>
      <c r="U88" s="267"/>
      <c r="V88" s="267"/>
      <c r="W88" s="267"/>
    </row>
    <row r="89" spans="1:23" ht="12.75" customHeight="1">
      <c r="A89" s="37">
        <v>12</v>
      </c>
      <c r="B89" s="268" t="s">
        <v>228</v>
      </c>
      <c r="C89" s="268"/>
      <c r="D89" s="268"/>
      <c r="E89" s="268"/>
      <c r="F89" s="268"/>
      <c r="G89" s="268"/>
      <c r="H89" s="268"/>
      <c r="I89" s="268"/>
      <c r="J89" s="268"/>
      <c r="K89" s="268"/>
      <c r="L89" s="268"/>
      <c r="M89" s="268"/>
      <c r="N89" s="268"/>
      <c r="O89" s="268"/>
      <c r="P89" s="268"/>
      <c r="Q89" s="268"/>
      <c r="R89" s="268"/>
      <c r="S89" s="268"/>
      <c r="T89" s="268"/>
      <c r="U89" s="268"/>
      <c r="V89" s="268"/>
      <c r="W89" s="268"/>
    </row>
    <row r="90" spans="1:23" ht="12.75">
      <c r="A90" s="37">
        <v>13</v>
      </c>
      <c r="B90" s="268" t="s">
        <v>252</v>
      </c>
      <c r="C90" s="268"/>
      <c r="D90" s="268"/>
      <c r="E90" s="268"/>
      <c r="F90" s="268"/>
      <c r="G90" s="268"/>
      <c r="H90" s="268"/>
      <c r="I90" s="268"/>
      <c r="J90" s="268"/>
      <c r="K90" s="268"/>
      <c r="L90" s="268"/>
      <c r="M90" s="268"/>
      <c r="N90" s="268"/>
      <c r="O90" s="268"/>
      <c r="P90" s="268"/>
      <c r="Q90" s="268"/>
      <c r="R90" s="268"/>
      <c r="S90" s="268"/>
      <c r="T90" s="268"/>
      <c r="U90" s="268"/>
      <c r="V90" s="268"/>
      <c r="W90" s="268"/>
    </row>
    <row r="91" spans="1:23" ht="12.75">
      <c r="A91" s="37">
        <v>14</v>
      </c>
      <c r="B91" s="268" t="s">
        <v>253</v>
      </c>
      <c r="C91" s="268"/>
      <c r="D91" s="268"/>
      <c r="E91" s="268"/>
      <c r="F91" s="268"/>
      <c r="G91" s="268"/>
      <c r="H91" s="268"/>
      <c r="I91" s="268"/>
      <c r="J91" s="268"/>
      <c r="K91" s="268"/>
      <c r="L91" s="268"/>
      <c r="M91" s="268"/>
      <c r="N91" s="268"/>
      <c r="O91" s="268"/>
      <c r="P91" s="268"/>
      <c r="Q91" s="268"/>
      <c r="R91" s="268"/>
      <c r="S91" s="268"/>
      <c r="T91" s="268"/>
      <c r="U91" s="268"/>
      <c r="V91" s="268"/>
      <c r="W91" s="268"/>
    </row>
    <row r="92" spans="1:23" ht="27" customHeight="1">
      <c r="A92" s="37">
        <v>15</v>
      </c>
      <c r="B92" s="268" t="s">
        <v>264</v>
      </c>
      <c r="C92" s="268"/>
      <c r="D92" s="268"/>
      <c r="E92" s="268"/>
      <c r="F92" s="268"/>
      <c r="G92" s="268"/>
      <c r="H92" s="268"/>
      <c r="I92" s="268"/>
      <c r="J92" s="268"/>
      <c r="K92" s="268"/>
      <c r="L92" s="268"/>
      <c r="M92" s="268"/>
      <c r="N92" s="268"/>
      <c r="O92" s="268"/>
      <c r="P92" s="268"/>
      <c r="Q92" s="268"/>
      <c r="R92" s="268"/>
      <c r="S92" s="268"/>
      <c r="T92" s="268"/>
      <c r="U92" s="268"/>
      <c r="V92" s="268"/>
      <c r="W92" s="268"/>
    </row>
    <row r="93" spans="1:23" ht="21.75" customHeight="1">
      <c r="A93" s="37">
        <v>16</v>
      </c>
      <c r="B93" s="268" t="s">
        <v>239</v>
      </c>
      <c r="C93" s="268"/>
      <c r="D93" s="268"/>
      <c r="E93" s="268"/>
      <c r="F93" s="268"/>
      <c r="G93" s="268"/>
      <c r="H93" s="268"/>
      <c r="I93" s="268"/>
      <c r="J93" s="268"/>
      <c r="K93" s="268"/>
      <c r="L93" s="268"/>
      <c r="M93" s="268"/>
      <c r="N93" s="268"/>
      <c r="O93" s="268"/>
      <c r="P93" s="268"/>
      <c r="Q93" s="268"/>
      <c r="R93" s="268"/>
      <c r="S93" s="268"/>
      <c r="T93" s="268"/>
      <c r="U93" s="268"/>
      <c r="V93" s="268"/>
      <c r="W93" s="268"/>
    </row>
    <row r="94" spans="1:23" ht="23.25" customHeight="1">
      <c r="A94" s="37">
        <v>17</v>
      </c>
      <c r="B94" s="242" t="s">
        <v>240</v>
      </c>
      <c r="C94" s="242"/>
      <c r="D94" s="242"/>
      <c r="E94" s="242"/>
      <c r="F94" s="242"/>
      <c r="G94" s="242"/>
      <c r="H94" s="242"/>
      <c r="I94" s="242"/>
      <c r="J94" s="242"/>
      <c r="K94" s="242"/>
      <c r="L94" s="242"/>
      <c r="M94" s="242"/>
      <c r="N94" s="242"/>
      <c r="O94" s="242"/>
      <c r="P94" s="242"/>
      <c r="Q94" s="242"/>
      <c r="R94" s="242"/>
      <c r="S94" s="242"/>
      <c r="T94" s="242"/>
      <c r="U94" s="242"/>
      <c r="V94" s="242"/>
      <c r="W94" s="242"/>
    </row>
    <row r="95" spans="1:23" ht="21.75" customHeight="1">
      <c r="A95" s="37">
        <v>18</v>
      </c>
      <c r="B95" s="242" t="s">
        <v>330</v>
      </c>
      <c r="C95" s="242"/>
      <c r="D95" s="242"/>
      <c r="E95" s="242"/>
      <c r="F95" s="242"/>
      <c r="G95" s="242"/>
      <c r="H95" s="242"/>
      <c r="I95" s="242"/>
      <c r="J95" s="242"/>
      <c r="K95" s="242"/>
      <c r="L95" s="242"/>
      <c r="M95" s="242"/>
      <c r="N95" s="242"/>
      <c r="O95" s="242"/>
      <c r="P95" s="242"/>
      <c r="Q95" s="242"/>
      <c r="R95" s="242"/>
      <c r="S95" s="242"/>
      <c r="T95" s="242"/>
      <c r="U95" s="242"/>
      <c r="V95" s="242"/>
      <c r="W95" s="242"/>
    </row>
    <row r="96" spans="1:23" ht="12.75">
      <c r="A96" s="38">
        <v>19</v>
      </c>
      <c r="B96" s="268" t="s">
        <v>323</v>
      </c>
      <c r="C96" s="268"/>
      <c r="D96" s="268"/>
      <c r="E96" s="268"/>
      <c r="F96" s="268"/>
      <c r="G96" s="268"/>
      <c r="H96" s="268"/>
      <c r="I96" s="268"/>
      <c r="J96" s="268"/>
      <c r="K96" s="268"/>
      <c r="L96" s="268"/>
      <c r="M96" s="268"/>
      <c r="N96" s="268"/>
      <c r="O96" s="268"/>
      <c r="P96" s="268"/>
      <c r="Q96" s="268"/>
      <c r="R96" s="268"/>
      <c r="S96" s="268"/>
      <c r="T96" s="268"/>
      <c r="U96" s="268"/>
      <c r="V96" s="268"/>
      <c r="W96" s="268"/>
    </row>
  </sheetData>
  <sheetProtection/>
  <mergeCells count="10">
    <mergeCell ref="B87:M87"/>
    <mergeCell ref="B81:W81"/>
    <mergeCell ref="B88:W88"/>
    <mergeCell ref="B89:W89"/>
    <mergeCell ref="B90:W90"/>
    <mergeCell ref="B96:W96"/>
    <mergeCell ref="B91:W91"/>
    <mergeCell ref="B92:W92"/>
    <mergeCell ref="B93:W93"/>
    <mergeCell ref="B86:M86"/>
  </mergeCells>
  <printOptions/>
  <pageMargins left="0.25" right="0.25" top="0.25" bottom="0.25" header="0.34" footer="0.24"/>
  <pageSetup fitToHeight="1" fitToWidth="1" horizontalDpi="600" verticalDpi="600" orientation="portrait" paperSize="9" scale="16" r:id="rId1"/>
  <rowBreaks count="1" manualBreakCount="1">
    <brk id="57" max="255" man="1"/>
  </rowBreaks>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BF77"/>
  <sheetViews>
    <sheetView view="pageBreakPreview" zoomScale="90" zoomScaleNormal="90" zoomScaleSheetLayoutView="90" zoomScalePageLayoutView="0" workbookViewId="0" topLeftCell="A1">
      <pane xSplit="3" ySplit="6" topLeftCell="AY68" activePane="bottomRight" state="frozen"/>
      <selection pane="topLeft" activeCell="A3" sqref="A3"/>
      <selection pane="topRight" activeCell="A3" sqref="A3"/>
      <selection pane="bottomLeft" activeCell="A3" sqref="A3"/>
      <selection pane="bottomRight" activeCell="C6" sqref="C6"/>
    </sheetView>
  </sheetViews>
  <sheetFormatPr defaultColWidth="7.57421875" defaultRowHeight="12.75" outlineLevelRow="1" outlineLevelCol="1"/>
  <cols>
    <col min="1" max="1" width="2.421875" style="34" customWidth="1"/>
    <col min="2" max="2" width="5.57421875" style="26" customWidth="1"/>
    <col min="3" max="3" width="54.8515625" style="26" customWidth="1"/>
    <col min="4" max="7" width="11.57421875" style="41" hidden="1" customWidth="1" outlineLevel="1"/>
    <col min="8" max="8" width="11.57421875" style="41" hidden="1" customWidth="1" outlineLevel="1" collapsed="1"/>
    <col min="9" max="10" width="11.57421875" style="41" hidden="1" customWidth="1" outlineLevel="1"/>
    <col min="11" max="11" width="11.57421875" style="41" hidden="1" customWidth="1" collapsed="1"/>
    <col min="12" max="22" width="11.57421875" style="41" hidden="1" customWidth="1"/>
    <col min="23" max="24" width="11.57421875" style="76" hidden="1" customWidth="1"/>
    <col min="25" max="40" width="11.8515625" style="76" hidden="1" customWidth="1"/>
    <col min="41" max="41" width="7.8515625" style="76" bestFit="1" customWidth="1"/>
    <col min="42" max="43" width="11.8515625" style="76" customWidth="1"/>
    <col min="44" max="44" width="10.57421875" style="76" customWidth="1"/>
    <col min="45" max="45" width="12.00390625" style="76" customWidth="1"/>
    <col min="46" max="46" width="12.8515625" style="76" customWidth="1"/>
    <col min="47" max="47" width="11.421875" style="76" customWidth="1"/>
    <col min="48" max="48" width="10.140625" style="76" bestFit="1" customWidth="1"/>
    <col min="49" max="49" width="11.140625" style="76" bestFit="1" customWidth="1"/>
    <col min="50" max="50" width="11.140625" style="76" customWidth="1"/>
    <col min="51" max="52" width="10.140625" style="76" bestFit="1" customWidth="1"/>
    <col min="53" max="56" width="10.140625" style="76" customWidth="1"/>
    <col min="57" max="57" width="10.140625" style="252" customWidth="1"/>
    <col min="58" max="58" width="10.00390625" style="76" bestFit="1" customWidth="1"/>
    <col min="59" max="16384" width="7.57421875" style="76" customWidth="1"/>
  </cols>
  <sheetData>
    <row r="1" spans="1:22" ht="15">
      <c r="A1" s="28" t="s">
        <v>26</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31 DECEMBER 2019</v>
      </c>
      <c r="B2" s="29"/>
      <c r="C2" s="29"/>
    </row>
    <row r="3" spans="1:22" ht="12.75">
      <c r="A3" s="269" t="s">
        <v>9</v>
      </c>
      <c r="B3" s="269"/>
      <c r="C3" s="31"/>
      <c r="I3" s="42"/>
      <c r="J3" s="42"/>
      <c r="K3" s="42"/>
      <c r="L3" s="42"/>
      <c r="M3" s="42"/>
      <c r="N3" s="42"/>
      <c r="O3" s="42"/>
      <c r="P3" s="42"/>
      <c r="Q3" s="42"/>
      <c r="R3" s="42"/>
      <c r="S3" s="42"/>
      <c r="T3" s="42"/>
      <c r="U3" s="42"/>
      <c r="V3" s="42"/>
    </row>
    <row r="4" spans="1:57" s="79" customFormat="1" ht="13.5">
      <c r="A4" s="77"/>
      <c r="B4" s="77"/>
      <c r="C4" s="77"/>
      <c r="D4" s="134"/>
      <c r="E4" s="78"/>
      <c r="F4" s="78"/>
      <c r="G4" s="78"/>
      <c r="H4" s="78"/>
      <c r="BE4" s="253"/>
    </row>
    <row r="5" spans="1:58" ht="15.75">
      <c r="A5" s="269"/>
      <c r="B5" s="269"/>
      <c r="C5" s="31"/>
      <c r="D5" s="32" t="s">
        <v>15</v>
      </c>
      <c r="E5" s="32" t="s">
        <v>12</v>
      </c>
      <c r="F5" s="32" t="s">
        <v>12</v>
      </c>
      <c r="G5" s="32" t="s">
        <v>12</v>
      </c>
      <c r="H5" s="32" t="s">
        <v>12</v>
      </c>
      <c r="I5" s="32" t="s">
        <v>12</v>
      </c>
      <c r="J5" s="32" t="s">
        <v>12</v>
      </c>
      <c r="K5" s="32" t="s">
        <v>12</v>
      </c>
      <c r="L5" s="32" t="s">
        <v>12</v>
      </c>
      <c r="M5" s="32" t="s">
        <v>12</v>
      </c>
      <c r="N5" s="32" t="s">
        <v>12</v>
      </c>
      <c r="O5" s="32" t="s">
        <v>12</v>
      </c>
      <c r="P5" s="32" t="s">
        <v>12</v>
      </c>
      <c r="Q5" s="32" t="s">
        <v>12</v>
      </c>
      <c r="R5" s="32" t="s">
        <v>12</v>
      </c>
      <c r="S5" s="32" t="s">
        <v>12</v>
      </c>
      <c r="T5" s="32" t="s">
        <v>12</v>
      </c>
      <c r="U5" s="32" t="s">
        <v>12</v>
      </c>
      <c r="V5" s="135" t="s">
        <v>12</v>
      </c>
      <c r="W5" s="135" t="s">
        <v>12</v>
      </c>
      <c r="X5" s="135" t="s">
        <v>12</v>
      </c>
      <c r="Y5" s="135" t="s">
        <v>12</v>
      </c>
      <c r="Z5" s="135" t="s">
        <v>12</v>
      </c>
      <c r="AA5" s="135" t="s">
        <v>12</v>
      </c>
      <c r="AB5" s="135" t="s">
        <v>12</v>
      </c>
      <c r="AC5" s="135" t="s">
        <v>12</v>
      </c>
      <c r="AD5" s="135" t="s">
        <v>12</v>
      </c>
      <c r="AE5" s="135" t="s">
        <v>12</v>
      </c>
      <c r="AF5" s="135" t="s">
        <v>12</v>
      </c>
      <c r="AG5" s="135" t="s">
        <v>12</v>
      </c>
      <c r="AH5" s="135" t="s">
        <v>12</v>
      </c>
      <c r="AI5" s="135" t="s">
        <v>12</v>
      </c>
      <c r="AJ5" s="135" t="s">
        <v>12</v>
      </c>
      <c r="AK5" s="135" t="s">
        <v>12</v>
      </c>
      <c r="AL5" s="135" t="s">
        <v>12</v>
      </c>
      <c r="AM5" s="135" t="s">
        <v>12</v>
      </c>
      <c r="AN5" s="135" t="s">
        <v>12</v>
      </c>
      <c r="AO5" s="135" t="s">
        <v>12</v>
      </c>
      <c r="AP5" s="135" t="s">
        <v>12</v>
      </c>
      <c r="AQ5" s="135" t="s">
        <v>12</v>
      </c>
      <c r="AR5" s="135" t="s">
        <v>12</v>
      </c>
      <c r="AS5" s="135" t="s">
        <v>12</v>
      </c>
      <c r="AT5" s="135" t="s">
        <v>12</v>
      </c>
      <c r="AU5" s="135" t="s">
        <v>12</v>
      </c>
      <c r="AV5" s="135" t="s">
        <v>12</v>
      </c>
      <c r="AW5" s="135" t="s">
        <v>12</v>
      </c>
      <c r="AX5" s="135" t="s">
        <v>12</v>
      </c>
      <c r="AY5" s="135" t="s">
        <v>12</v>
      </c>
      <c r="AZ5" s="135" t="s">
        <v>12</v>
      </c>
      <c r="BA5" s="135" t="s">
        <v>12</v>
      </c>
      <c r="BB5" s="135" t="s">
        <v>12</v>
      </c>
      <c r="BC5" s="135" t="s">
        <v>12</v>
      </c>
      <c r="BD5" s="135" t="s">
        <v>12</v>
      </c>
      <c r="BE5" s="254" t="s">
        <v>12</v>
      </c>
      <c r="BF5" s="275" t="s">
        <v>12</v>
      </c>
    </row>
    <row r="6" spans="1:58" ht="12.75">
      <c r="A6" s="269"/>
      <c r="B6" s="269"/>
      <c r="C6" s="31"/>
      <c r="D6" s="33" t="s">
        <v>36</v>
      </c>
      <c r="E6" s="33" t="s">
        <v>37</v>
      </c>
      <c r="F6" s="33" t="s">
        <v>67</v>
      </c>
      <c r="G6" s="33" t="s">
        <v>68</v>
      </c>
      <c r="H6" s="33" t="s">
        <v>69</v>
      </c>
      <c r="I6" s="33" t="s">
        <v>70</v>
      </c>
      <c r="J6" s="33" t="s">
        <v>71</v>
      </c>
      <c r="K6" s="33" t="s">
        <v>72</v>
      </c>
      <c r="L6" s="33" t="s">
        <v>4</v>
      </c>
      <c r="M6" s="33" t="s">
        <v>21</v>
      </c>
      <c r="N6" s="33" t="s">
        <v>20</v>
      </c>
      <c r="O6" s="33" t="s">
        <v>23</v>
      </c>
      <c r="P6" s="33" t="s">
        <v>24</v>
      </c>
      <c r="Q6" s="33" t="s">
        <v>25</v>
      </c>
      <c r="R6" s="33" t="s">
        <v>123</v>
      </c>
      <c r="S6" s="33" t="s">
        <v>124</v>
      </c>
      <c r="T6" s="33" t="s">
        <v>125</v>
      </c>
      <c r="U6" s="33" t="s">
        <v>126</v>
      </c>
      <c r="V6" s="33" t="s">
        <v>127</v>
      </c>
      <c r="W6" s="33" t="s">
        <v>129</v>
      </c>
      <c r="X6" s="33" t="s">
        <v>137</v>
      </c>
      <c r="Y6" s="33" t="s">
        <v>140</v>
      </c>
      <c r="Z6" s="33" t="s">
        <v>142</v>
      </c>
      <c r="AA6" s="33" t="s">
        <v>143</v>
      </c>
      <c r="AB6" s="33" t="s">
        <v>144</v>
      </c>
      <c r="AC6" s="33" t="s">
        <v>145</v>
      </c>
      <c r="AD6" s="33" t="s">
        <v>152</v>
      </c>
      <c r="AE6" s="33" t="s">
        <v>156</v>
      </c>
      <c r="AF6" s="33" t="s">
        <v>158</v>
      </c>
      <c r="AG6" s="33" t="s">
        <v>160</v>
      </c>
      <c r="AH6" s="33" t="s">
        <v>161</v>
      </c>
      <c r="AI6" s="33" t="s">
        <v>162</v>
      </c>
      <c r="AJ6" s="33" t="s">
        <v>163</v>
      </c>
      <c r="AK6" s="33" t="s">
        <v>170</v>
      </c>
      <c r="AL6" s="33" t="s">
        <v>171</v>
      </c>
      <c r="AM6" s="33" t="s">
        <v>172</v>
      </c>
      <c r="AN6" s="33" t="s">
        <v>173</v>
      </c>
      <c r="AO6" s="33" t="s">
        <v>181</v>
      </c>
      <c r="AP6" s="33" t="s">
        <v>182</v>
      </c>
      <c r="AQ6" s="33" t="s">
        <v>183</v>
      </c>
      <c r="AR6" s="33" t="s">
        <v>184</v>
      </c>
      <c r="AS6" s="33" t="s">
        <v>188</v>
      </c>
      <c r="AT6" s="33" t="s">
        <v>190</v>
      </c>
      <c r="AU6" s="33" t="s">
        <v>198</v>
      </c>
      <c r="AV6" s="33" t="s">
        <v>217</v>
      </c>
      <c r="AW6" s="33" t="s">
        <v>233</v>
      </c>
      <c r="AX6" s="33" t="s">
        <v>241</v>
      </c>
      <c r="AY6" s="33" t="s">
        <v>248</v>
      </c>
      <c r="AZ6" s="33" t="s">
        <v>260</v>
      </c>
      <c r="BA6" s="33" t="s">
        <v>271</v>
      </c>
      <c r="BB6" s="33" t="s">
        <v>287</v>
      </c>
      <c r="BC6" s="33" t="s">
        <v>295</v>
      </c>
      <c r="BD6" s="33" t="s">
        <v>301</v>
      </c>
      <c r="BE6" s="255" t="s">
        <v>307</v>
      </c>
      <c r="BF6" s="276" t="s">
        <v>338</v>
      </c>
    </row>
    <row r="7" spans="1:22" ht="12.75">
      <c r="A7" s="34" t="s">
        <v>60</v>
      </c>
      <c r="D7" s="43"/>
      <c r="E7" s="43"/>
      <c r="F7" s="43"/>
      <c r="G7" s="43"/>
      <c r="H7" s="43"/>
      <c r="I7" s="43"/>
      <c r="J7" s="43"/>
      <c r="K7" s="43"/>
      <c r="L7" s="43"/>
      <c r="M7" s="43"/>
      <c r="N7" s="43"/>
      <c r="O7" s="43"/>
      <c r="P7" s="43"/>
      <c r="Q7" s="43"/>
      <c r="R7" s="43"/>
      <c r="S7" s="43"/>
      <c r="T7" s="43"/>
      <c r="U7" s="43"/>
      <c r="V7" s="43"/>
    </row>
    <row r="8" spans="1:58" ht="12.75">
      <c r="A8" s="25"/>
      <c r="B8" s="27" t="s">
        <v>193</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180">
        <f>37220-AO11</f>
        <v>36943</v>
      </c>
      <c r="AP8" s="180">
        <f>39623-AP11</f>
        <v>39348</v>
      </c>
      <c r="AQ8" s="180">
        <f>38994-AQ11</f>
        <v>38074</v>
      </c>
      <c r="AR8" s="180">
        <f>38550-AR11</f>
        <v>38099</v>
      </c>
      <c r="AS8" s="180">
        <v>39155</v>
      </c>
      <c r="AT8" s="194">
        <f>39679-AT11</f>
        <v>39547</v>
      </c>
      <c r="AU8" s="180">
        <f>40240-AU11</f>
        <v>39702</v>
      </c>
      <c r="AV8" s="180">
        <f>38326-AV11</f>
        <v>38121</v>
      </c>
      <c r="AW8" s="180">
        <f>38306-AW11</f>
        <v>38171</v>
      </c>
      <c r="AX8" s="180">
        <f>35321-AX11</f>
        <v>35561</v>
      </c>
      <c r="AY8" s="180">
        <f>33014-AY11</f>
        <v>33156</v>
      </c>
      <c r="AZ8" s="180">
        <f>32494-AZ11</f>
        <v>31902</v>
      </c>
      <c r="BA8" s="180">
        <f>32477-BA11</f>
        <v>32833</v>
      </c>
      <c r="BB8" s="180">
        <f>31546-BB11</f>
        <v>31299</v>
      </c>
      <c r="BC8" s="180">
        <f>30402-BC11</f>
        <v>29703</v>
      </c>
      <c r="BD8" s="180">
        <f>30215-BD11</f>
        <v>29738</v>
      </c>
      <c r="BE8" s="180">
        <f>32897-2458</f>
        <v>30439</v>
      </c>
      <c r="BF8" s="180">
        <f>37779-6695</f>
        <v>31084</v>
      </c>
    </row>
    <row r="9" spans="1:50" ht="12.75" hidden="1" outlineLevel="1">
      <c r="A9" s="25"/>
      <c r="B9" s="27" t="s">
        <v>110</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46">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180">
        <v>0</v>
      </c>
      <c r="AP9" s="180">
        <v>0</v>
      </c>
      <c r="AQ9" s="180">
        <v>0</v>
      </c>
      <c r="AR9" s="180">
        <v>0</v>
      </c>
      <c r="AS9" s="180">
        <v>0</v>
      </c>
      <c r="AT9" s="180">
        <v>0</v>
      </c>
      <c r="AU9" s="180">
        <v>0</v>
      </c>
      <c r="AV9" s="180">
        <v>0</v>
      </c>
      <c r="AW9" s="180">
        <v>0</v>
      </c>
      <c r="AX9" s="180">
        <v>0</v>
      </c>
    </row>
    <row r="10" spans="1:50" ht="12.75" hidden="1" outlineLevel="1">
      <c r="A10" s="25"/>
      <c r="B10" s="27" t="s">
        <v>10</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46">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180">
        <v>0</v>
      </c>
      <c r="AP10" s="180">
        <v>0</v>
      </c>
      <c r="AQ10" s="180">
        <v>0</v>
      </c>
      <c r="AR10" s="180">
        <v>0</v>
      </c>
      <c r="AS10" s="180">
        <v>0</v>
      </c>
      <c r="AT10" s="180">
        <v>0</v>
      </c>
      <c r="AU10" s="180">
        <v>0</v>
      </c>
      <c r="AV10" s="180">
        <v>0</v>
      </c>
      <c r="AW10" s="180">
        <v>0</v>
      </c>
      <c r="AX10" s="180">
        <v>0</v>
      </c>
    </row>
    <row r="11" spans="1:58" ht="12.75" collapsed="1">
      <c r="A11" s="25"/>
      <c r="B11" s="26" t="s">
        <v>293</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180">
        <v>277</v>
      </c>
      <c r="AP11" s="180">
        <v>275</v>
      </c>
      <c r="AQ11" s="180">
        <v>920</v>
      </c>
      <c r="AR11" s="180">
        <v>451</v>
      </c>
      <c r="AS11" s="180">
        <v>175</v>
      </c>
      <c r="AT11" s="180">
        <v>132</v>
      </c>
      <c r="AU11" s="180">
        <v>538</v>
      </c>
      <c r="AV11" s="180">
        <v>205</v>
      </c>
      <c r="AW11" s="180">
        <v>135</v>
      </c>
      <c r="AX11" s="180">
        <v>-240</v>
      </c>
      <c r="AY11" s="180">
        <v>-142</v>
      </c>
      <c r="AZ11" s="180">
        <v>592</v>
      </c>
      <c r="BA11" s="180">
        <v>-356</v>
      </c>
      <c r="BB11" s="180">
        <v>247</v>
      </c>
      <c r="BC11" s="180">
        <v>699</v>
      </c>
      <c r="BD11" s="180">
        <v>477</v>
      </c>
      <c r="BE11" s="180">
        <v>2458</v>
      </c>
      <c r="BF11" s="180">
        <v>6695</v>
      </c>
    </row>
    <row r="12" spans="1:58"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181">
        <f t="shared" si="2"/>
        <v>37220</v>
      </c>
      <c r="AP12" s="181">
        <f t="shared" si="2"/>
        <v>39623</v>
      </c>
      <c r="AQ12" s="181">
        <f aca="true" t="shared" si="3" ref="AQ12:AW12">SUM(AQ8:AQ11)</f>
        <v>38994</v>
      </c>
      <c r="AR12" s="181">
        <f t="shared" si="3"/>
        <v>38550</v>
      </c>
      <c r="AS12" s="181">
        <f t="shared" si="3"/>
        <v>39330</v>
      </c>
      <c r="AT12" s="181">
        <f t="shared" si="3"/>
        <v>39679</v>
      </c>
      <c r="AU12" s="181">
        <f t="shared" si="3"/>
        <v>40240</v>
      </c>
      <c r="AV12" s="181">
        <f t="shared" si="3"/>
        <v>38326</v>
      </c>
      <c r="AW12" s="181">
        <f t="shared" si="3"/>
        <v>38306</v>
      </c>
      <c r="AX12" s="181">
        <f aca="true" t="shared" si="4" ref="AX12:BC12">SUM(AX8:AX11)</f>
        <v>35321</v>
      </c>
      <c r="AY12" s="181">
        <f t="shared" si="4"/>
        <v>33014</v>
      </c>
      <c r="AZ12" s="181">
        <f t="shared" si="4"/>
        <v>32494</v>
      </c>
      <c r="BA12" s="181">
        <f t="shared" si="4"/>
        <v>32477</v>
      </c>
      <c r="BB12" s="181">
        <f t="shared" si="4"/>
        <v>31546</v>
      </c>
      <c r="BC12" s="181">
        <f t="shared" si="4"/>
        <v>30402</v>
      </c>
      <c r="BD12" s="181">
        <f>SUM(BD8:BD11)</f>
        <v>30215</v>
      </c>
      <c r="BE12" s="181">
        <f>SUM(BE8:BE11)</f>
        <v>32897</v>
      </c>
      <c r="BF12" s="181">
        <f>SUM(BF8:BF11)</f>
        <v>37779</v>
      </c>
    </row>
    <row r="13" spans="4:46" ht="12.75">
      <c r="D13" s="46"/>
      <c r="F13" s="46"/>
      <c r="G13" s="46"/>
      <c r="H13" s="46"/>
      <c r="I13" s="46"/>
      <c r="J13" s="46"/>
      <c r="K13" s="46"/>
      <c r="L13" s="46"/>
      <c r="M13" s="46"/>
      <c r="N13" s="46"/>
      <c r="O13" s="46"/>
      <c r="P13" s="46"/>
      <c r="Q13" s="46"/>
      <c r="R13" s="46"/>
      <c r="S13" s="46"/>
      <c r="T13" s="46"/>
      <c r="U13" s="46"/>
      <c r="V13" s="46"/>
      <c r="X13" s="146"/>
      <c r="AT13" s="80"/>
    </row>
    <row r="14" spans="1:46" ht="12.75">
      <c r="A14" s="34" t="s">
        <v>61</v>
      </c>
      <c r="D14" s="46"/>
      <c r="F14" s="46"/>
      <c r="G14" s="46"/>
      <c r="H14" s="46"/>
      <c r="I14" s="46"/>
      <c r="J14" s="46"/>
      <c r="K14" s="46"/>
      <c r="L14" s="46"/>
      <c r="M14" s="46"/>
      <c r="N14" s="46"/>
      <c r="O14" s="46"/>
      <c r="P14" s="46"/>
      <c r="Q14" s="46"/>
      <c r="R14" s="46"/>
      <c r="S14" s="46"/>
      <c r="T14" s="46"/>
      <c r="U14" s="46"/>
      <c r="V14" s="46"/>
      <c r="X14" s="146"/>
      <c r="AT14" s="80"/>
    </row>
    <row r="15" spans="1:58" ht="12.75">
      <c r="A15" s="25"/>
      <c r="B15" s="80" t="s">
        <v>111</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180">
        <v>-3019</v>
      </c>
      <c r="AP15" s="180">
        <v>-3324</v>
      </c>
      <c r="AQ15" s="180">
        <v>-3268</v>
      </c>
      <c r="AR15" s="180">
        <v>-3468</v>
      </c>
      <c r="AS15" s="180">
        <v>-3318</v>
      </c>
      <c r="AT15" s="180">
        <v>-3677</v>
      </c>
      <c r="AU15" s="180">
        <v>-3418</v>
      </c>
      <c r="AV15" s="180">
        <v>-3569</v>
      </c>
      <c r="AW15" s="180">
        <v>-4618</v>
      </c>
      <c r="AX15" s="180">
        <v>-3480</v>
      </c>
      <c r="AY15" s="180">
        <v>-3717</v>
      </c>
      <c r="AZ15" s="180">
        <v>-5073</v>
      </c>
      <c r="BA15" s="180">
        <v>-3625</v>
      </c>
      <c r="BB15" s="180">
        <v>-2875</v>
      </c>
      <c r="BC15" s="180">
        <v>-3050</v>
      </c>
      <c r="BD15" s="180">
        <v>-2987</v>
      </c>
      <c r="BE15" s="180">
        <v>-3505</v>
      </c>
      <c r="BF15" s="180">
        <v>-3112</v>
      </c>
    </row>
    <row r="16" spans="1:58" ht="12.75">
      <c r="A16" s="25"/>
      <c r="B16" s="80" t="s">
        <v>112</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180">
        <v>-673</v>
      </c>
      <c r="AP16" s="180">
        <v>-673</v>
      </c>
      <c r="AQ16" s="180">
        <v>-657</v>
      </c>
      <c r="AR16" s="180">
        <v>-652</v>
      </c>
      <c r="AS16" s="180">
        <v>-648</v>
      </c>
      <c r="AT16" s="180">
        <v>-810</v>
      </c>
      <c r="AU16" s="180">
        <v>-809</v>
      </c>
      <c r="AV16" s="180">
        <v>-780</v>
      </c>
      <c r="AW16" s="180">
        <v>-783</v>
      </c>
      <c r="AX16" s="180">
        <v>-720</v>
      </c>
      <c r="AY16" s="180">
        <v>-655</v>
      </c>
      <c r="AZ16" s="180">
        <v>-647</v>
      </c>
      <c r="BA16" s="180">
        <v>-615</v>
      </c>
      <c r="BB16" s="180">
        <v>-604</v>
      </c>
      <c r="BC16" s="180">
        <v>-567</v>
      </c>
      <c r="BD16" s="180">
        <v>-582</v>
      </c>
      <c r="BE16" s="180">
        <v>-658</v>
      </c>
      <c r="BF16" s="180">
        <v>-772</v>
      </c>
    </row>
    <row r="17" spans="1:58" ht="12.75">
      <c r="A17" s="25"/>
      <c r="B17" s="80" t="s">
        <v>62</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180">
        <v>-2026</v>
      </c>
      <c r="AP17" s="180">
        <v>-2115</v>
      </c>
      <c r="AQ17" s="180">
        <v>-2139</v>
      </c>
      <c r="AR17" s="180">
        <v>-2120</v>
      </c>
      <c r="AS17" s="180">
        <v>-1952</v>
      </c>
      <c r="AT17" s="180">
        <v>-1889</v>
      </c>
      <c r="AU17" s="180">
        <v>-2160</v>
      </c>
      <c r="AV17" s="180">
        <v>-2008</v>
      </c>
      <c r="AW17" s="180">
        <v>-2040</v>
      </c>
      <c r="AX17" s="180">
        <v>-1953</v>
      </c>
      <c r="AY17" s="180">
        <v>-2037</v>
      </c>
      <c r="AZ17" s="180">
        <v>-2066</v>
      </c>
      <c r="BA17" s="180">
        <v>-2108</v>
      </c>
      <c r="BB17" s="180">
        <v>-2014</v>
      </c>
      <c r="BC17" s="180">
        <v>-1921</v>
      </c>
      <c r="BD17" s="180">
        <v>-2041</v>
      </c>
      <c r="BE17" s="180">
        <v>-2073</v>
      </c>
      <c r="BF17" s="180">
        <v>-2005</v>
      </c>
    </row>
    <row r="18" spans="1:58" ht="12.75">
      <c r="A18" s="25"/>
      <c r="B18" s="80" t="s">
        <v>113</v>
      </c>
      <c r="C18" s="80"/>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180">
        <v>-1920</v>
      </c>
      <c r="AP18" s="180">
        <v>-1764</v>
      </c>
      <c r="AQ18" s="180">
        <v>-1703</v>
      </c>
      <c r="AR18" s="180">
        <v>-1715</v>
      </c>
      <c r="AS18" s="180">
        <v>-1447</v>
      </c>
      <c r="AT18" s="180">
        <v>-1624</v>
      </c>
      <c r="AU18" s="180">
        <v>-1514</v>
      </c>
      <c r="AV18" s="180">
        <v>-1632</v>
      </c>
      <c r="AW18" s="180">
        <v>-1659</v>
      </c>
      <c r="AX18" s="180">
        <v>-1877</v>
      </c>
      <c r="AY18" s="180">
        <v>-1704</v>
      </c>
      <c r="AZ18" s="180">
        <v>-1869</v>
      </c>
      <c r="BA18" s="180">
        <v>-1115</v>
      </c>
      <c r="BB18" s="180">
        <v>-1480</v>
      </c>
      <c r="BC18" s="180">
        <v>-1405</v>
      </c>
      <c r="BD18" s="180">
        <v>-1521</v>
      </c>
      <c r="BE18" s="180">
        <v>-1401</v>
      </c>
      <c r="BF18" s="180">
        <v>-1431</v>
      </c>
    </row>
    <row r="19" spans="1:58" ht="12.75">
      <c r="A19" s="25"/>
      <c r="B19" s="80" t="s">
        <v>63</v>
      </c>
      <c r="C19" s="80"/>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180">
        <f>-874-122-419-188-592</f>
        <v>-2195</v>
      </c>
      <c r="AP19" s="180">
        <f>-928-118-486-234-603</f>
        <v>-2369</v>
      </c>
      <c r="AQ19" s="180">
        <f>-973-114-517-205-582</f>
        <v>-2391</v>
      </c>
      <c r="AR19" s="180">
        <f>-1104-126-495-229-530</f>
        <v>-2484</v>
      </c>
      <c r="AS19" s="180">
        <f>-10041-SUM(AS15:AS18)</f>
        <v>-2676</v>
      </c>
      <c r="AT19" s="194">
        <f>-10467-SUM(AT15:AT18)</f>
        <v>-2467</v>
      </c>
      <c r="AU19" s="180">
        <f>-883-117-562-246-511</f>
        <v>-2319</v>
      </c>
      <c r="AV19" s="180">
        <f>-814-122-548-232-745</f>
        <v>-2461</v>
      </c>
      <c r="AW19" s="180">
        <f>-890-131-484-233-733</f>
        <v>-2471</v>
      </c>
      <c r="AX19" s="180">
        <f>-553-207-351-116-17-14-807-367-1</f>
        <v>-2433</v>
      </c>
      <c r="AY19" s="180">
        <f>-830-113-550-225-751</f>
        <v>-2469</v>
      </c>
      <c r="AZ19" s="180">
        <f>-812-113-539-215-789</f>
        <v>-2468</v>
      </c>
      <c r="BA19" s="180">
        <f>-856-114-561-234-1094-544</f>
        <v>-3403</v>
      </c>
      <c r="BB19" s="180">
        <f>-840-240-555-243-1029-544</f>
        <v>-3451</v>
      </c>
      <c r="BC19" s="180">
        <f>-784-242-530-272-1022-522</f>
        <v>-3372</v>
      </c>
      <c r="BD19" s="180">
        <f>-837-244-533-262-1083-372</f>
        <v>-3331</v>
      </c>
      <c r="BE19" s="180">
        <f>-759-231-539-264-1063-677</f>
        <v>-3533</v>
      </c>
      <c r="BF19" s="180">
        <f>-770-280-535-296-1225-639</f>
        <v>-3745</v>
      </c>
    </row>
    <row r="20" spans="1:58"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5" ref="X20:AC20">SUM(X15:X19)</f>
        <v>-5684</v>
      </c>
      <c r="Y20" s="47">
        <f t="shared" si="5"/>
        <v>-6052</v>
      </c>
      <c r="Z20" s="47">
        <f t="shared" si="5"/>
        <v>-6028</v>
      </c>
      <c r="AA20" s="47">
        <f t="shared" si="5"/>
        <v>-6114</v>
      </c>
      <c r="AB20" s="47">
        <f t="shared" si="5"/>
        <v>-9104</v>
      </c>
      <c r="AC20" s="47">
        <f t="shared" si="5"/>
        <v>-9099</v>
      </c>
      <c r="AD20" s="47">
        <f aca="true" t="shared" si="6" ref="AD20:AI20">SUM(AD15:AD19)</f>
        <v>-6758</v>
      </c>
      <c r="AE20" s="47">
        <f t="shared" si="6"/>
        <v>-6670</v>
      </c>
      <c r="AF20" s="47">
        <f t="shared" si="6"/>
        <v>-6903</v>
      </c>
      <c r="AG20" s="47">
        <f t="shared" si="6"/>
        <v>-6930</v>
      </c>
      <c r="AH20" s="47">
        <f t="shared" si="6"/>
        <v>-6643</v>
      </c>
      <c r="AI20" s="47">
        <f t="shared" si="6"/>
        <v>-6896</v>
      </c>
      <c r="AJ20" s="47">
        <f aca="true" t="shared" si="7" ref="AJ20:AP20">SUM(AJ15:AJ19)</f>
        <v>-6722</v>
      </c>
      <c r="AK20" s="47">
        <f t="shared" si="7"/>
        <v>-8023</v>
      </c>
      <c r="AL20" s="47">
        <f t="shared" si="7"/>
        <v>-10015</v>
      </c>
      <c r="AM20" s="47">
        <f t="shared" si="7"/>
        <v>-10098</v>
      </c>
      <c r="AN20" s="47">
        <f t="shared" si="7"/>
        <v>-10373</v>
      </c>
      <c r="AO20" s="182">
        <f t="shared" si="7"/>
        <v>-9833</v>
      </c>
      <c r="AP20" s="182">
        <f t="shared" si="7"/>
        <v>-10245</v>
      </c>
      <c r="AQ20" s="182">
        <f aca="true" t="shared" si="8" ref="AQ20:AV20">SUM(AQ15:AQ19)</f>
        <v>-10158</v>
      </c>
      <c r="AR20" s="182">
        <f t="shared" si="8"/>
        <v>-10439</v>
      </c>
      <c r="AS20" s="182">
        <f t="shared" si="8"/>
        <v>-10041</v>
      </c>
      <c r="AT20" s="182">
        <f t="shared" si="8"/>
        <v>-10467</v>
      </c>
      <c r="AU20" s="182">
        <f t="shared" si="8"/>
        <v>-10220</v>
      </c>
      <c r="AV20" s="182">
        <f t="shared" si="8"/>
        <v>-10450</v>
      </c>
      <c r="AW20" s="182">
        <f aca="true" t="shared" si="9" ref="AW20:BB20">SUM(AW15:AW19)</f>
        <v>-11571</v>
      </c>
      <c r="AX20" s="182">
        <f t="shared" si="9"/>
        <v>-10463</v>
      </c>
      <c r="AY20" s="182">
        <f t="shared" si="9"/>
        <v>-10582</v>
      </c>
      <c r="AZ20" s="182">
        <f t="shared" si="9"/>
        <v>-12123</v>
      </c>
      <c r="BA20" s="182">
        <f t="shared" si="9"/>
        <v>-10866</v>
      </c>
      <c r="BB20" s="182">
        <f t="shared" si="9"/>
        <v>-10424</v>
      </c>
      <c r="BC20" s="182">
        <f>SUM(BC15:BC19)</f>
        <v>-10315</v>
      </c>
      <c r="BD20" s="182">
        <f>SUM(BD15:BD19)</f>
        <v>-10462</v>
      </c>
      <c r="BE20" s="182">
        <f>SUM(BE15:BE19)</f>
        <v>-11170</v>
      </c>
      <c r="BF20" s="182">
        <f>SUM(BF15:BF19)</f>
        <v>-11065</v>
      </c>
    </row>
    <row r="21" spans="1:58" ht="12.75">
      <c r="A21" s="25"/>
      <c r="B21" s="27"/>
      <c r="D21" s="44"/>
      <c r="F21" s="44"/>
      <c r="G21" s="44"/>
      <c r="H21" s="44"/>
      <c r="I21" s="44"/>
      <c r="J21" s="44"/>
      <c r="K21" s="44"/>
      <c r="L21" s="44"/>
      <c r="M21" s="44"/>
      <c r="N21" s="44"/>
      <c r="O21" s="44"/>
      <c r="P21" s="44"/>
      <c r="Q21" s="44"/>
      <c r="R21" s="44"/>
      <c r="S21" s="44"/>
      <c r="T21" s="44"/>
      <c r="U21" s="44"/>
      <c r="V21" s="44"/>
      <c r="X21" s="146"/>
      <c r="AT21" s="80"/>
      <c r="BF21" s="172"/>
    </row>
    <row r="22" spans="1:58" s="81" customFormat="1" ht="12.75">
      <c r="A22" s="34" t="s">
        <v>64</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10" ref="X22:AC22">X12+X20</f>
        <v>24880</v>
      </c>
      <c r="Y22" s="51">
        <f t="shared" si="10"/>
        <v>24344</v>
      </c>
      <c r="Z22" s="51">
        <f t="shared" si="10"/>
        <v>24633</v>
      </c>
      <c r="AA22" s="51">
        <f t="shared" si="10"/>
        <v>24760</v>
      </c>
      <c r="AB22" s="51">
        <f t="shared" si="10"/>
        <v>26641</v>
      </c>
      <c r="AC22" s="51">
        <f t="shared" si="10"/>
        <v>26482</v>
      </c>
      <c r="AD22" s="51">
        <f aca="true" t="shared" si="11" ref="AD22:AI22">AD12+AD20</f>
        <v>22934</v>
      </c>
      <c r="AE22" s="51">
        <f t="shared" si="11"/>
        <v>23038</v>
      </c>
      <c r="AF22" s="51">
        <f t="shared" si="11"/>
        <v>23082</v>
      </c>
      <c r="AG22" s="51">
        <f t="shared" si="11"/>
        <v>21882</v>
      </c>
      <c r="AH22" s="51">
        <f t="shared" si="11"/>
        <v>22126</v>
      </c>
      <c r="AI22" s="51">
        <f t="shared" si="11"/>
        <v>21704</v>
      </c>
      <c r="AJ22" s="51">
        <f aca="true" t="shared" si="12" ref="AJ22:AO22">AJ12+AJ20</f>
        <v>22919</v>
      </c>
      <c r="AK22" s="51">
        <f t="shared" si="12"/>
        <v>23805</v>
      </c>
      <c r="AL22" s="51">
        <f t="shared" si="12"/>
        <v>25444</v>
      </c>
      <c r="AM22" s="51">
        <f t="shared" si="12"/>
        <v>24716</v>
      </c>
      <c r="AN22" s="51">
        <f t="shared" si="12"/>
        <v>24321</v>
      </c>
      <c r="AO22" s="183">
        <f t="shared" si="12"/>
        <v>27387</v>
      </c>
      <c r="AP22" s="183">
        <f aca="true" t="shared" si="13" ref="AP22:AU22">AP12+AP20</f>
        <v>29378</v>
      </c>
      <c r="AQ22" s="183">
        <f t="shared" si="13"/>
        <v>28836</v>
      </c>
      <c r="AR22" s="183">
        <f t="shared" si="13"/>
        <v>28111</v>
      </c>
      <c r="AS22" s="183">
        <f t="shared" si="13"/>
        <v>29289</v>
      </c>
      <c r="AT22" s="183">
        <f t="shared" si="13"/>
        <v>29212</v>
      </c>
      <c r="AU22" s="183">
        <f t="shared" si="13"/>
        <v>30020</v>
      </c>
      <c r="AV22" s="183">
        <f aca="true" t="shared" si="14" ref="AV22:BA22">AV12+AV20</f>
        <v>27876</v>
      </c>
      <c r="AW22" s="183">
        <f t="shared" si="14"/>
        <v>26735</v>
      </c>
      <c r="AX22" s="183">
        <f t="shared" si="14"/>
        <v>24858</v>
      </c>
      <c r="AY22" s="183">
        <f t="shared" si="14"/>
        <v>22432</v>
      </c>
      <c r="AZ22" s="183">
        <f t="shared" si="14"/>
        <v>20371</v>
      </c>
      <c r="BA22" s="183">
        <f t="shared" si="14"/>
        <v>21611</v>
      </c>
      <c r="BB22" s="183">
        <f>BB12+BB20</f>
        <v>21122</v>
      </c>
      <c r="BC22" s="183">
        <f>BC12+BC20</f>
        <v>20087</v>
      </c>
      <c r="BD22" s="183">
        <f>BD12+BD20</f>
        <v>19753</v>
      </c>
      <c r="BE22" s="183">
        <f>BE12+BE20</f>
        <v>21727</v>
      </c>
      <c r="BF22" s="183">
        <f>BF12+BF20</f>
        <v>26714</v>
      </c>
    </row>
    <row r="23" spans="4:46" ht="12.75">
      <c r="D23" s="46"/>
      <c r="F23" s="46"/>
      <c r="G23" s="46"/>
      <c r="H23" s="46"/>
      <c r="I23" s="46"/>
      <c r="J23" s="46"/>
      <c r="K23" s="46"/>
      <c r="L23" s="46"/>
      <c r="M23" s="46"/>
      <c r="N23" s="46"/>
      <c r="O23" s="46"/>
      <c r="P23" s="46"/>
      <c r="Q23" s="46"/>
      <c r="R23" s="46"/>
      <c r="S23" s="46"/>
      <c r="T23" s="46"/>
      <c r="U23" s="46"/>
      <c r="V23" s="46"/>
      <c r="X23" s="146"/>
      <c r="AT23" s="80"/>
    </row>
    <row r="24" spans="2:58" ht="12.75">
      <c r="B24" s="26" t="s">
        <v>257</v>
      </c>
      <c r="D24" s="46"/>
      <c r="F24" s="46"/>
      <c r="G24" s="46"/>
      <c r="H24" s="46"/>
      <c r="I24" s="46"/>
      <c r="J24" s="46"/>
      <c r="K24" s="46"/>
      <c r="L24" s="46"/>
      <c r="M24" s="46"/>
      <c r="N24" s="46"/>
      <c r="O24" s="46"/>
      <c r="P24" s="46"/>
      <c r="Q24" s="46"/>
      <c r="R24" s="46"/>
      <c r="S24" s="46"/>
      <c r="T24" s="46"/>
      <c r="U24" s="46"/>
      <c r="V24" s="46"/>
      <c r="X24" s="146"/>
      <c r="AT24" s="80"/>
      <c r="AY24" s="180">
        <v>1347</v>
      </c>
      <c r="AZ24" s="180">
        <v>1603</v>
      </c>
      <c r="BA24" s="180">
        <v>2547</v>
      </c>
      <c r="BB24" s="180">
        <v>1576</v>
      </c>
      <c r="BC24" s="180">
        <v>1594</v>
      </c>
      <c r="BD24" s="180">
        <v>1732</v>
      </c>
      <c r="BE24" s="180">
        <v>2976</v>
      </c>
      <c r="BF24" s="180">
        <v>1940</v>
      </c>
    </row>
    <row r="25" spans="1:58" ht="12.75">
      <c r="A25" s="25"/>
      <c r="B25" s="80" t="s">
        <v>66</v>
      </c>
      <c r="D25" s="44">
        <v>733</v>
      </c>
      <c r="E25" s="44">
        <v>131</v>
      </c>
      <c r="F25" s="44">
        <v>80</v>
      </c>
      <c r="G25" s="44">
        <v>1288</v>
      </c>
      <c r="H25" s="44">
        <v>894</v>
      </c>
      <c r="I25" s="44">
        <v>613</v>
      </c>
      <c r="J25" s="44">
        <v>841</v>
      </c>
      <c r="K25" s="44">
        <v>625</v>
      </c>
      <c r="L25" s="44">
        <v>519</v>
      </c>
      <c r="M25" s="44">
        <v>369</v>
      </c>
      <c r="N25" s="44">
        <v>206</v>
      </c>
      <c r="O25" s="44">
        <v>201</v>
      </c>
      <c r="P25" s="44">
        <v>82</v>
      </c>
      <c r="Q25" s="44">
        <v>79</v>
      </c>
      <c r="R25" s="44">
        <v>71</v>
      </c>
      <c r="S25" s="44">
        <v>67</v>
      </c>
      <c r="T25" s="44">
        <v>64</v>
      </c>
      <c r="U25" s="44">
        <v>65</v>
      </c>
      <c r="V25" s="44">
        <v>93</v>
      </c>
      <c r="W25" s="44">
        <v>116</v>
      </c>
      <c r="X25" s="44">
        <v>114</v>
      </c>
      <c r="Y25" s="44">
        <v>131</v>
      </c>
      <c r="Z25" s="44">
        <v>124</v>
      </c>
      <c r="AA25" s="44">
        <v>185</v>
      </c>
      <c r="AB25" s="44">
        <v>220</v>
      </c>
      <c r="AC25" s="44">
        <v>165</v>
      </c>
      <c r="AD25" s="44">
        <v>408</v>
      </c>
      <c r="AE25" s="44">
        <v>103</v>
      </c>
      <c r="AF25" s="44">
        <v>95</v>
      </c>
      <c r="AG25" s="44">
        <v>103</v>
      </c>
      <c r="AH25" s="44">
        <v>70</v>
      </c>
      <c r="AI25" s="44">
        <v>48</v>
      </c>
      <c r="AJ25" s="44">
        <v>54</v>
      </c>
      <c r="AK25" s="44">
        <v>66</v>
      </c>
      <c r="AL25" s="44">
        <v>103</v>
      </c>
      <c r="AM25" s="44">
        <v>59</v>
      </c>
      <c r="AN25" s="44">
        <v>91</v>
      </c>
      <c r="AO25" s="180">
        <v>153</v>
      </c>
      <c r="AP25" s="180">
        <v>171</v>
      </c>
      <c r="AQ25" s="180">
        <v>167</v>
      </c>
      <c r="AR25" s="180">
        <v>171</v>
      </c>
      <c r="AS25" s="180">
        <v>124</v>
      </c>
      <c r="AT25" s="180">
        <v>134</v>
      </c>
      <c r="AU25" s="180">
        <v>83</v>
      </c>
      <c r="AV25" s="180">
        <v>121</v>
      </c>
      <c r="AW25" s="180">
        <v>163</v>
      </c>
      <c r="AX25" s="180">
        <v>93</v>
      </c>
      <c r="AY25" s="180">
        <v>48</v>
      </c>
      <c r="AZ25" s="180">
        <v>77</v>
      </c>
      <c r="BA25" s="180">
        <v>98</v>
      </c>
      <c r="BB25" s="180">
        <v>37</v>
      </c>
      <c r="BC25" s="180">
        <v>24</v>
      </c>
      <c r="BD25" s="180">
        <v>41</v>
      </c>
      <c r="BE25" s="180">
        <v>25</v>
      </c>
      <c r="BF25" s="180">
        <v>7</v>
      </c>
    </row>
    <row r="26" spans="1:58" ht="12.75">
      <c r="A26" s="25"/>
      <c r="B26" s="80" t="s">
        <v>128</v>
      </c>
      <c r="D26" s="41">
        <v>0</v>
      </c>
      <c r="E26" s="41">
        <v>0</v>
      </c>
      <c r="F26" s="44">
        <v>0</v>
      </c>
      <c r="G26" s="44">
        <v>0</v>
      </c>
      <c r="H26" s="44">
        <v>0</v>
      </c>
      <c r="I26" s="44">
        <v>0</v>
      </c>
      <c r="J26" s="44">
        <v>-2009</v>
      </c>
      <c r="K26" s="44">
        <v>2009</v>
      </c>
      <c r="L26" s="44">
        <v>0</v>
      </c>
      <c r="M26" s="44">
        <v>0</v>
      </c>
      <c r="N26" s="44">
        <v>-710</v>
      </c>
      <c r="O26" s="44">
        <v>-4052</v>
      </c>
      <c r="P26" s="44">
        <v>-101</v>
      </c>
      <c r="Q26" s="44">
        <v>-688</v>
      </c>
      <c r="R26" s="44">
        <v>-634</v>
      </c>
      <c r="S26" s="44">
        <v>-646</v>
      </c>
      <c r="T26" s="44">
        <v>-621</v>
      </c>
      <c r="U26" s="44">
        <v>-291</v>
      </c>
      <c r="V26" s="44">
        <v>-2</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0</v>
      </c>
      <c r="AO26" s="180">
        <v>0</v>
      </c>
      <c r="AP26" s="180">
        <v>0</v>
      </c>
      <c r="AQ26" s="180">
        <v>0</v>
      </c>
      <c r="AR26" s="180">
        <v>0</v>
      </c>
      <c r="AS26" s="180">
        <v>0</v>
      </c>
      <c r="AT26" s="184">
        <v>0</v>
      </c>
      <c r="AU26" s="184">
        <v>0</v>
      </c>
      <c r="AV26" s="184">
        <v>0</v>
      </c>
      <c r="AW26" s="184">
        <v>0</v>
      </c>
      <c r="AX26" s="184">
        <v>0</v>
      </c>
      <c r="AY26" s="184">
        <v>0</v>
      </c>
      <c r="AZ26" s="184">
        <v>0</v>
      </c>
      <c r="BA26" s="184">
        <v>0</v>
      </c>
      <c r="BB26" s="184">
        <v>0</v>
      </c>
      <c r="BC26" s="184">
        <v>0</v>
      </c>
      <c r="BD26" s="184">
        <v>0</v>
      </c>
      <c r="BE26" s="184">
        <v>0</v>
      </c>
      <c r="BF26" s="184">
        <v>0</v>
      </c>
    </row>
    <row r="27" spans="1:58" ht="12.75">
      <c r="A27" s="25"/>
      <c r="B27" s="80" t="s">
        <v>139</v>
      </c>
      <c r="C27" s="80"/>
      <c r="D27" s="44">
        <v>0</v>
      </c>
      <c r="E27" s="44">
        <v>0</v>
      </c>
      <c r="F27" s="44">
        <v>0</v>
      </c>
      <c r="G27" s="44">
        <v>-1309</v>
      </c>
      <c r="H27" s="44">
        <v>-1558</v>
      </c>
      <c r="I27" s="44">
        <v>-1958</v>
      </c>
      <c r="J27" s="44">
        <v>-2897</v>
      </c>
      <c r="K27" s="44">
        <v>-3027</v>
      </c>
      <c r="L27" s="44">
        <v>-2947</v>
      </c>
      <c r="M27" s="44">
        <v>-2815</v>
      </c>
      <c r="N27" s="44">
        <v>-2687</v>
      </c>
      <c r="O27" s="44">
        <v>-2462</v>
      </c>
      <c r="P27" s="44">
        <v>-2450</v>
      </c>
      <c r="Q27" s="44">
        <v>-2759</v>
      </c>
      <c r="R27" s="44">
        <v>-3127</v>
      </c>
      <c r="S27" s="44">
        <v>-3097</v>
      </c>
      <c r="T27" s="44">
        <v>-3070</v>
      </c>
      <c r="U27" s="44">
        <v>-3181</v>
      </c>
      <c r="V27" s="44">
        <v>-3188</v>
      </c>
      <c r="W27" s="44">
        <v>-3123</v>
      </c>
      <c r="X27" s="44">
        <v>-3189</v>
      </c>
      <c r="Y27" s="44">
        <v>-3227</v>
      </c>
      <c r="Z27" s="44">
        <v>-3232</v>
      </c>
      <c r="AA27" s="44">
        <v>-3224</v>
      </c>
      <c r="AB27" s="44">
        <v>-3417</v>
      </c>
      <c r="AC27" s="44">
        <v>-3179</v>
      </c>
      <c r="AD27" s="44">
        <v>-2937</v>
      </c>
      <c r="AE27" s="44">
        <v>-2901</v>
      </c>
      <c r="AF27" s="44">
        <v>-2874</v>
      </c>
      <c r="AG27" s="44">
        <v>-2969</v>
      </c>
      <c r="AH27" s="44">
        <v>-2945</v>
      </c>
      <c r="AI27" s="44">
        <v>-2897</v>
      </c>
      <c r="AJ27" s="44">
        <v>-2985</v>
      </c>
      <c r="AK27" s="44">
        <v>-3053</v>
      </c>
      <c r="AL27" s="44">
        <v>-3075</v>
      </c>
      <c r="AM27" s="44">
        <v>-2991</v>
      </c>
      <c r="AN27" s="44">
        <v>-2989</v>
      </c>
      <c r="AO27" s="180">
        <v>-3180</v>
      </c>
      <c r="AP27" s="180">
        <v>-3415</v>
      </c>
      <c r="AQ27" s="180">
        <v>-3388</v>
      </c>
      <c r="AR27" s="180">
        <v>-3338</v>
      </c>
      <c r="AS27" s="180">
        <f>-13585-SUM(AP27:AR27)</f>
        <v>-3444</v>
      </c>
      <c r="AT27" s="180">
        <v>-3442</v>
      </c>
      <c r="AU27" s="180">
        <v>-3443</v>
      </c>
      <c r="AV27" s="180">
        <v>-3367</v>
      </c>
      <c r="AW27" s="180">
        <v>-3454</v>
      </c>
      <c r="AX27" s="180">
        <v>-3369</v>
      </c>
      <c r="AY27" s="180">
        <v>-3418</v>
      </c>
      <c r="AZ27" s="180">
        <v>-3481</v>
      </c>
      <c r="BA27" s="180">
        <v>-3517</v>
      </c>
      <c r="BB27" s="180">
        <v>-3418</v>
      </c>
      <c r="BC27" s="180">
        <v>-3305</v>
      </c>
      <c r="BD27" s="180">
        <v>-3323</v>
      </c>
      <c r="BE27" s="180">
        <v>-3526</v>
      </c>
      <c r="BF27" s="180">
        <v>-3752</v>
      </c>
    </row>
    <row r="28" spans="1:58" ht="12.75">
      <c r="A28" s="25"/>
      <c r="B28" s="80" t="s">
        <v>114</v>
      </c>
      <c r="C28" s="80"/>
      <c r="D28" s="44">
        <v>-1272</v>
      </c>
      <c r="E28" s="44">
        <v>-633</v>
      </c>
      <c r="F28" s="44">
        <v>-751</v>
      </c>
      <c r="G28" s="44">
        <v>-326</v>
      </c>
      <c r="H28" s="44">
        <v>-503</v>
      </c>
      <c r="I28" s="44">
        <v>-661</v>
      </c>
      <c r="J28" s="44">
        <v>-2102</v>
      </c>
      <c r="K28" s="44">
        <v>-588</v>
      </c>
      <c r="L28" s="44">
        <v>-1822</v>
      </c>
      <c r="M28" s="44">
        <v>-891</v>
      </c>
      <c r="N28" s="44">
        <v>-1227</v>
      </c>
      <c r="O28" s="44">
        <v>-796</v>
      </c>
      <c r="P28" s="44">
        <v>-685</v>
      </c>
      <c r="Q28" s="44">
        <v>-636</v>
      </c>
      <c r="R28" s="44">
        <v>-503</v>
      </c>
      <c r="S28" s="44">
        <v>-586</v>
      </c>
      <c r="T28" s="44">
        <v>-713</v>
      </c>
      <c r="U28" s="44">
        <v>-827</v>
      </c>
      <c r="V28" s="44">
        <v>-563</v>
      </c>
      <c r="W28" s="44">
        <v>-364</v>
      </c>
      <c r="X28" s="44">
        <v>-565</v>
      </c>
      <c r="Y28" s="44">
        <v>-1243</v>
      </c>
      <c r="Z28" s="44">
        <v>-416</v>
      </c>
      <c r="AA28" s="44">
        <v>-567</v>
      </c>
      <c r="AB28" s="44">
        <v>-500</v>
      </c>
      <c r="AC28" s="44">
        <v>-699</v>
      </c>
      <c r="AD28" s="44">
        <v>-539</v>
      </c>
      <c r="AE28" s="44">
        <v>-586</v>
      </c>
      <c r="AF28" s="44">
        <v>-816</v>
      </c>
      <c r="AG28" s="44">
        <v>-630</v>
      </c>
      <c r="AH28" s="44">
        <v>-458</v>
      </c>
      <c r="AI28" s="44">
        <v>-512</v>
      </c>
      <c r="AJ28" s="44">
        <v>-433</v>
      </c>
      <c r="AK28" s="44">
        <v>-564</v>
      </c>
      <c r="AL28" s="44">
        <v>-404</v>
      </c>
      <c r="AM28" s="44">
        <v>-405</v>
      </c>
      <c r="AN28" s="44">
        <v>-414</v>
      </c>
      <c r="AO28" s="180">
        <v>-1317</v>
      </c>
      <c r="AP28" s="180">
        <v>-439</v>
      </c>
      <c r="AQ28" s="180">
        <v>-425</v>
      </c>
      <c r="AR28" s="180">
        <v>-387</v>
      </c>
      <c r="AS28" s="180">
        <f>-1716-SUM(AP28:AR28)</f>
        <v>-465</v>
      </c>
      <c r="AT28" s="180">
        <v>-383</v>
      </c>
      <c r="AU28" s="180">
        <v>-521</v>
      </c>
      <c r="AV28" s="180">
        <v>-399</v>
      </c>
      <c r="AW28" s="180">
        <v>-437</v>
      </c>
      <c r="AX28" s="180">
        <v>-455</v>
      </c>
      <c r="AY28" s="180">
        <v>-416</v>
      </c>
      <c r="AZ28" s="180">
        <v>-629</v>
      </c>
      <c r="BA28" s="180">
        <v>-564</v>
      </c>
      <c r="BB28" s="180">
        <v>-512</v>
      </c>
      <c r="BC28" s="180">
        <v>-768</v>
      </c>
      <c r="BD28" s="180">
        <v>-616</v>
      </c>
      <c r="BE28" s="180">
        <v>-475</v>
      </c>
      <c r="BF28" s="180">
        <v>-1166</v>
      </c>
    </row>
    <row r="29" spans="1:58" ht="12.75">
      <c r="A29" s="25"/>
      <c r="B29" s="80" t="s">
        <v>115</v>
      </c>
      <c r="C29" s="80"/>
      <c r="D29" s="44">
        <v>0</v>
      </c>
      <c r="E29" s="44">
        <v>0</v>
      </c>
      <c r="F29" s="44">
        <v>0</v>
      </c>
      <c r="G29" s="44">
        <v>0</v>
      </c>
      <c r="H29" s="44">
        <v>0</v>
      </c>
      <c r="I29" s="44">
        <v>0</v>
      </c>
      <c r="J29" s="44">
        <v>0</v>
      </c>
      <c r="K29" s="44">
        <v>0</v>
      </c>
      <c r="L29" s="44">
        <v>0</v>
      </c>
      <c r="M29" s="44">
        <v>-2943</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v>0</v>
      </c>
      <c r="AE29" s="44">
        <v>0</v>
      </c>
      <c r="AF29" s="44">
        <v>0</v>
      </c>
      <c r="AG29" s="44">
        <v>0</v>
      </c>
      <c r="AH29" s="44">
        <v>0</v>
      </c>
      <c r="AI29" s="44">
        <v>0</v>
      </c>
      <c r="AJ29" s="44">
        <v>0</v>
      </c>
      <c r="AK29" s="44">
        <v>0</v>
      </c>
      <c r="AL29" s="44">
        <v>0</v>
      </c>
      <c r="AM29" s="44">
        <v>0</v>
      </c>
      <c r="AN29" s="44">
        <v>0</v>
      </c>
      <c r="AO29" s="180">
        <v>0</v>
      </c>
      <c r="AP29" s="180">
        <v>0</v>
      </c>
      <c r="AQ29" s="180">
        <v>0</v>
      </c>
      <c r="AR29" s="180">
        <v>0</v>
      </c>
      <c r="AS29" s="180">
        <v>0</v>
      </c>
      <c r="AT29" s="180">
        <v>0</v>
      </c>
      <c r="AU29" s="180">
        <v>0</v>
      </c>
      <c r="AV29" s="180">
        <v>0</v>
      </c>
      <c r="AW29" s="184">
        <v>0</v>
      </c>
      <c r="AX29" s="184">
        <v>0</v>
      </c>
      <c r="AY29" s="184">
        <v>0</v>
      </c>
      <c r="AZ29" s="184">
        <v>0</v>
      </c>
      <c r="BA29" s="184">
        <v>0</v>
      </c>
      <c r="BB29" s="184">
        <v>0</v>
      </c>
      <c r="BC29" s="184">
        <v>0</v>
      </c>
      <c r="BD29" s="184">
        <v>0</v>
      </c>
      <c r="BE29" s="184">
        <v>0</v>
      </c>
      <c r="BF29" s="184">
        <v>0</v>
      </c>
    </row>
    <row r="30" spans="1:58" ht="12.75">
      <c r="A30" s="25"/>
      <c r="B30" s="80" t="s">
        <v>116</v>
      </c>
      <c r="C30" s="80"/>
      <c r="D30" s="44">
        <v>-3087</v>
      </c>
      <c r="E30" s="44">
        <v>-2410</v>
      </c>
      <c r="F30" s="44">
        <v>-2655</v>
      </c>
      <c r="G30" s="44">
        <v>-4040</v>
      </c>
      <c r="H30" s="44">
        <v>-3761</v>
      </c>
      <c r="I30" s="44">
        <v>-4018</v>
      </c>
      <c r="J30" s="44">
        <v>-7691</v>
      </c>
      <c r="K30" s="44">
        <v>-9742</v>
      </c>
      <c r="L30" s="44">
        <v>-8919</v>
      </c>
      <c r="M30" s="44">
        <v>-10929</v>
      </c>
      <c r="N30" s="44">
        <v>-12706</v>
      </c>
      <c r="O30" s="44">
        <v>-13245</v>
      </c>
      <c r="P30" s="44">
        <v>-13373</v>
      </c>
      <c r="Q30" s="44">
        <v>-12654</v>
      </c>
      <c r="R30" s="44">
        <v>-10093</v>
      </c>
      <c r="S30" s="44">
        <v>-11018</v>
      </c>
      <c r="T30" s="44">
        <v>-10983</v>
      </c>
      <c r="U30" s="44">
        <v>-11657</v>
      </c>
      <c r="V30" s="44">
        <v>-11801</v>
      </c>
      <c r="W30" s="44">
        <v>-11166</v>
      </c>
      <c r="X30" s="44">
        <v>-12101</v>
      </c>
      <c r="Y30" s="44">
        <v>-10756</v>
      </c>
      <c r="Z30" s="44">
        <v>-13323</v>
      </c>
      <c r="AA30" s="44">
        <v>-9557</v>
      </c>
      <c r="AB30" s="44">
        <v>-13542</v>
      </c>
      <c r="AC30" s="44">
        <v>-7864</v>
      </c>
      <c r="AD30" s="44">
        <v>-6580</v>
      </c>
      <c r="AE30" s="44">
        <v>-4908</v>
      </c>
      <c r="AF30" s="44">
        <v>-5194</v>
      </c>
      <c r="AG30" s="44">
        <v>-5046</v>
      </c>
      <c r="AH30" s="44">
        <v>-5020</v>
      </c>
      <c r="AI30" s="44">
        <v>-4887</v>
      </c>
      <c r="AJ30" s="44">
        <v>-5053</v>
      </c>
      <c r="AK30" s="44">
        <v>-5802</v>
      </c>
      <c r="AL30" s="44">
        <v>-5053</v>
      </c>
      <c r="AM30" s="44">
        <v>-5369</v>
      </c>
      <c r="AN30" s="44">
        <v>-5459</v>
      </c>
      <c r="AO30" s="180">
        <v>-6187</v>
      </c>
      <c r="AP30" s="180">
        <v>-6128</v>
      </c>
      <c r="AQ30" s="180">
        <v>-6100</v>
      </c>
      <c r="AR30" s="180">
        <v>-5899</v>
      </c>
      <c r="AS30" s="180">
        <v>-6636</v>
      </c>
      <c r="AT30" s="180">
        <v>-5993</v>
      </c>
      <c r="AU30" s="180">
        <v>-6359</v>
      </c>
      <c r="AV30" s="180">
        <v>-6031</v>
      </c>
      <c r="AW30" s="180">
        <v>-6051</v>
      </c>
      <c r="AX30" s="180">
        <v>-5960</v>
      </c>
      <c r="AY30" s="180">
        <v>-6182</v>
      </c>
      <c r="AZ30" s="180">
        <v>-6433</v>
      </c>
      <c r="BA30" s="180">
        <v>-6108</v>
      </c>
      <c r="BB30" s="180">
        <v>-4700</v>
      </c>
      <c r="BC30" s="180">
        <v>-4641</v>
      </c>
      <c r="BD30" s="180">
        <v>-4752</v>
      </c>
      <c r="BE30" s="180">
        <v>-4809</v>
      </c>
      <c r="BF30" s="180">
        <v>-4913</v>
      </c>
    </row>
    <row r="31" spans="1:58" ht="12.75">
      <c r="A31" s="25"/>
      <c r="B31" s="80"/>
      <c r="C31" s="34"/>
      <c r="D31" s="47">
        <v>-3626</v>
      </c>
      <c r="E31" s="47">
        <v>-2912</v>
      </c>
      <c r="F31" s="47">
        <v>-3326</v>
      </c>
      <c r="G31" s="47">
        <v>-4387</v>
      </c>
      <c r="H31" s="47">
        <v>-4928</v>
      </c>
      <c r="I31" s="47">
        <v>-6024</v>
      </c>
      <c r="J31" s="47">
        <v>-13858</v>
      </c>
      <c r="K31" s="47">
        <v>-10723</v>
      </c>
      <c r="L31" s="47">
        <v>-13169</v>
      </c>
      <c r="M31" s="47">
        <v>-17209</v>
      </c>
      <c r="N31" s="47">
        <v>-17124</v>
      </c>
      <c r="O31" s="47">
        <v>-20354</v>
      </c>
      <c r="P31" s="47">
        <v>-16527</v>
      </c>
      <c r="Q31" s="47">
        <v>-16658</v>
      </c>
      <c r="R31" s="47">
        <v>-14286</v>
      </c>
      <c r="S31" s="47">
        <v>-15280</v>
      </c>
      <c r="T31" s="47">
        <v>-15323</v>
      </c>
      <c r="U31" s="47">
        <v>-15891</v>
      </c>
      <c r="V31" s="47">
        <v>-15461</v>
      </c>
      <c r="W31" s="47">
        <v>-14537</v>
      </c>
      <c r="X31" s="47">
        <f aca="true" t="shared" si="15" ref="X31:AC31">SUM(X25:X30)</f>
        <v>-15741</v>
      </c>
      <c r="Y31" s="47">
        <f t="shared" si="15"/>
        <v>-15095</v>
      </c>
      <c r="Z31" s="47">
        <f t="shared" si="15"/>
        <v>-16847</v>
      </c>
      <c r="AA31" s="47">
        <f t="shared" si="15"/>
        <v>-13163</v>
      </c>
      <c r="AB31" s="47">
        <f t="shared" si="15"/>
        <v>-17239</v>
      </c>
      <c r="AC31" s="47">
        <f t="shared" si="15"/>
        <v>-11577</v>
      </c>
      <c r="AD31" s="47">
        <f aca="true" t="shared" si="16" ref="AD31:AI31">SUM(AD25:AD30)</f>
        <v>-9648</v>
      </c>
      <c r="AE31" s="47">
        <f t="shared" si="16"/>
        <v>-8292</v>
      </c>
      <c r="AF31" s="47">
        <f t="shared" si="16"/>
        <v>-8789</v>
      </c>
      <c r="AG31" s="47">
        <f t="shared" si="16"/>
        <v>-8542</v>
      </c>
      <c r="AH31" s="47">
        <f t="shared" si="16"/>
        <v>-8353</v>
      </c>
      <c r="AI31" s="47">
        <f t="shared" si="16"/>
        <v>-8248</v>
      </c>
      <c r="AJ31" s="47">
        <f aca="true" t="shared" si="17" ref="AJ31:AP31">SUM(AJ25:AJ30)</f>
        <v>-8417</v>
      </c>
      <c r="AK31" s="47">
        <f t="shared" si="17"/>
        <v>-9353</v>
      </c>
      <c r="AL31" s="47">
        <f t="shared" si="17"/>
        <v>-8429</v>
      </c>
      <c r="AM31" s="47">
        <f t="shared" si="17"/>
        <v>-8706</v>
      </c>
      <c r="AN31" s="47">
        <f t="shared" si="17"/>
        <v>-8771</v>
      </c>
      <c r="AO31" s="182">
        <f t="shared" si="17"/>
        <v>-10531</v>
      </c>
      <c r="AP31" s="182">
        <f t="shared" si="17"/>
        <v>-9811</v>
      </c>
      <c r="AQ31" s="182">
        <f aca="true" t="shared" si="18" ref="AQ31:AV31">SUM(AQ25:AQ30)</f>
        <v>-9746</v>
      </c>
      <c r="AR31" s="182">
        <f t="shared" si="18"/>
        <v>-9453</v>
      </c>
      <c r="AS31" s="182">
        <f t="shared" si="18"/>
        <v>-10421</v>
      </c>
      <c r="AT31" s="182">
        <f t="shared" si="18"/>
        <v>-9684</v>
      </c>
      <c r="AU31" s="182">
        <f t="shared" si="18"/>
        <v>-10240</v>
      </c>
      <c r="AV31" s="182">
        <f t="shared" si="18"/>
        <v>-9676</v>
      </c>
      <c r="AW31" s="182">
        <f>SUM(AW25:AW30)</f>
        <v>-9779</v>
      </c>
      <c r="AX31" s="182">
        <f>SUM(AX25:AX30)</f>
        <v>-9691</v>
      </c>
      <c r="AY31" s="182">
        <f aca="true" t="shared" si="19" ref="AY31:BD31">SUM(AY24:AY30)</f>
        <v>-8621</v>
      </c>
      <c r="AZ31" s="182">
        <f t="shared" si="19"/>
        <v>-8863</v>
      </c>
      <c r="BA31" s="182">
        <f t="shared" si="19"/>
        <v>-7544</v>
      </c>
      <c r="BB31" s="182">
        <f t="shared" si="19"/>
        <v>-7017</v>
      </c>
      <c r="BC31" s="182">
        <f t="shared" si="19"/>
        <v>-7096</v>
      </c>
      <c r="BD31" s="182">
        <f t="shared" si="19"/>
        <v>-6918</v>
      </c>
      <c r="BE31" s="182">
        <f>SUM(BE24:BE30)</f>
        <v>-5809</v>
      </c>
      <c r="BF31" s="182">
        <f>SUM(BF24:BF30)</f>
        <v>-7884</v>
      </c>
    </row>
    <row r="32" spans="1:57" ht="12.75">
      <c r="A32" s="25"/>
      <c r="B32" s="27"/>
      <c r="D32" s="44"/>
      <c r="F32" s="44"/>
      <c r="G32" s="44"/>
      <c r="H32" s="44"/>
      <c r="I32" s="44"/>
      <c r="J32" s="44"/>
      <c r="K32" s="44"/>
      <c r="L32" s="44"/>
      <c r="M32" s="44"/>
      <c r="N32" s="44"/>
      <c r="O32" s="44"/>
      <c r="P32" s="44"/>
      <c r="Q32" s="44"/>
      <c r="R32" s="44"/>
      <c r="S32" s="44"/>
      <c r="T32" s="44"/>
      <c r="U32" s="44"/>
      <c r="V32" s="44"/>
      <c r="X32" s="146"/>
      <c r="AT32" s="80"/>
      <c r="BE32" s="172"/>
    </row>
    <row r="33" spans="1:58" ht="27" customHeight="1">
      <c r="A33" s="271" t="s">
        <v>270</v>
      </c>
      <c r="B33" s="271"/>
      <c r="C33" s="271"/>
      <c r="D33" s="45">
        <v>6133</v>
      </c>
      <c r="E33" s="45">
        <v>6400</v>
      </c>
      <c r="F33" s="45">
        <v>6360</v>
      </c>
      <c r="G33" s="45">
        <v>5842</v>
      </c>
      <c r="H33" s="45">
        <v>10194</v>
      </c>
      <c r="I33" s="45">
        <v>9432</v>
      </c>
      <c r="J33" s="45">
        <v>6756</v>
      </c>
      <c r="K33" s="45">
        <v>11360</v>
      </c>
      <c r="L33" s="45">
        <v>7640</v>
      </c>
      <c r="M33" s="45">
        <v>2299</v>
      </c>
      <c r="N33" s="45">
        <v>1435</v>
      </c>
      <c r="O33" s="45">
        <v>-1686</v>
      </c>
      <c r="P33" s="45">
        <v>546</v>
      </c>
      <c r="Q33" s="45">
        <v>3303</v>
      </c>
      <c r="R33" s="45">
        <v>9216</v>
      </c>
      <c r="S33" s="45">
        <v>8328</v>
      </c>
      <c r="T33" s="45">
        <v>7375</v>
      </c>
      <c r="U33" s="45">
        <v>7339</v>
      </c>
      <c r="V33" s="45">
        <v>7485</v>
      </c>
      <c r="W33" s="45">
        <v>9310</v>
      </c>
      <c r="X33" s="45">
        <f aca="true" t="shared" si="20" ref="X33:AC33">X22+X31</f>
        <v>9139</v>
      </c>
      <c r="Y33" s="45">
        <f t="shared" si="20"/>
        <v>9249</v>
      </c>
      <c r="Z33" s="45">
        <f t="shared" si="20"/>
        <v>7786</v>
      </c>
      <c r="AA33" s="45">
        <f t="shared" si="20"/>
        <v>11597</v>
      </c>
      <c r="AB33" s="45">
        <f t="shared" si="20"/>
        <v>9402</v>
      </c>
      <c r="AC33" s="45">
        <f t="shared" si="20"/>
        <v>14905</v>
      </c>
      <c r="AD33" s="45">
        <f aca="true" t="shared" si="21" ref="AD33:AI33">AD22+AD31</f>
        <v>13286</v>
      </c>
      <c r="AE33" s="45">
        <f t="shared" si="21"/>
        <v>14746</v>
      </c>
      <c r="AF33" s="45">
        <f t="shared" si="21"/>
        <v>14293</v>
      </c>
      <c r="AG33" s="45">
        <f t="shared" si="21"/>
        <v>13340</v>
      </c>
      <c r="AH33" s="45">
        <f t="shared" si="21"/>
        <v>13773</v>
      </c>
      <c r="AI33" s="45">
        <f t="shared" si="21"/>
        <v>13456</v>
      </c>
      <c r="AJ33" s="45">
        <f aca="true" t="shared" si="22" ref="AJ33:AO33">AJ22+AJ31</f>
        <v>14502</v>
      </c>
      <c r="AK33" s="45">
        <f t="shared" si="22"/>
        <v>14452</v>
      </c>
      <c r="AL33" s="45">
        <f t="shared" si="22"/>
        <v>17015</v>
      </c>
      <c r="AM33" s="45">
        <f t="shared" si="22"/>
        <v>16010</v>
      </c>
      <c r="AN33" s="45">
        <f t="shared" si="22"/>
        <v>15550</v>
      </c>
      <c r="AO33" s="181">
        <f t="shared" si="22"/>
        <v>16856</v>
      </c>
      <c r="AP33" s="181">
        <f aca="true" t="shared" si="23" ref="AP33:AU33">AP22+AP31</f>
        <v>19567</v>
      </c>
      <c r="AQ33" s="181">
        <f t="shared" si="23"/>
        <v>19090</v>
      </c>
      <c r="AR33" s="181">
        <f t="shared" si="23"/>
        <v>18658</v>
      </c>
      <c r="AS33" s="181">
        <f t="shared" si="23"/>
        <v>18868</v>
      </c>
      <c r="AT33" s="181">
        <f t="shared" si="23"/>
        <v>19528</v>
      </c>
      <c r="AU33" s="181">
        <f t="shared" si="23"/>
        <v>19780</v>
      </c>
      <c r="AV33" s="181">
        <f aca="true" t="shared" si="24" ref="AV33:BA33">AV22+AV31</f>
        <v>18200</v>
      </c>
      <c r="AW33" s="181">
        <f t="shared" si="24"/>
        <v>16956</v>
      </c>
      <c r="AX33" s="181">
        <f t="shared" si="24"/>
        <v>15167</v>
      </c>
      <c r="AY33" s="181">
        <f t="shared" si="24"/>
        <v>13811</v>
      </c>
      <c r="AZ33" s="181">
        <f t="shared" si="24"/>
        <v>11508</v>
      </c>
      <c r="BA33" s="181">
        <f t="shared" si="24"/>
        <v>14067</v>
      </c>
      <c r="BB33" s="181">
        <f>BB22+BB31</f>
        <v>14105</v>
      </c>
      <c r="BC33" s="181">
        <f>BC22+BC31</f>
        <v>12991</v>
      </c>
      <c r="BD33" s="181">
        <f>BD22+BD31</f>
        <v>12835</v>
      </c>
      <c r="BE33" s="181">
        <f>BE22+BE31</f>
        <v>15918</v>
      </c>
      <c r="BF33" s="181">
        <f>BF22+BF31</f>
        <v>18830</v>
      </c>
    </row>
    <row r="34" spans="2:46" ht="12.75">
      <c r="B34" s="34"/>
      <c r="C34" s="34"/>
      <c r="D34" s="46"/>
      <c r="F34" s="46"/>
      <c r="G34" s="46"/>
      <c r="H34" s="46"/>
      <c r="I34" s="46"/>
      <c r="J34" s="46"/>
      <c r="K34" s="46"/>
      <c r="L34" s="46"/>
      <c r="M34" s="46"/>
      <c r="N34" s="46"/>
      <c r="O34" s="46"/>
      <c r="P34" s="46"/>
      <c r="Q34" s="46"/>
      <c r="R34" s="46"/>
      <c r="S34" s="46"/>
      <c r="T34" s="46"/>
      <c r="U34" s="46"/>
      <c r="V34" s="46"/>
      <c r="X34" s="146"/>
      <c r="AT34" s="80"/>
    </row>
    <row r="35" spans="2:58" ht="12.75">
      <c r="B35" s="26" t="s">
        <v>117</v>
      </c>
      <c r="C35" s="34"/>
      <c r="D35" s="46">
        <v>0</v>
      </c>
      <c r="E35" s="46">
        <v>22</v>
      </c>
      <c r="F35" s="46">
        <v>201</v>
      </c>
      <c r="G35" s="46">
        <v>536</v>
      </c>
      <c r="H35" s="46">
        <v>208</v>
      </c>
      <c r="I35" s="46">
        <v>-46</v>
      </c>
      <c r="J35" s="46">
        <v>17</v>
      </c>
      <c r="K35" s="46">
        <v>-9915</v>
      </c>
      <c r="L35" s="46">
        <v>10462</v>
      </c>
      <c r="M35" s="46">
        <v>-5896</v>
      </c>
      <c r="N35" s="46">
        <v>-27030</v>
      </c>
      <c r="O35" s="46">
        <v>5696</v>
      </c>
      <c r="P35" s="46">
        <v>4103</v>
      </c>
      <c r="Q35" s="46">
        <v>-4159</v>
      </c>
      <c r="R35" s="46">
        <v>92</v>
      </c>
      <c r="S35" s="46">
        <v>591</v>
      </c>
      <c r="T35" s="46">
        <v>-384</v>
      </c>
      <c r="U35" s="46">
        <v>434</v>
      </c>
      <c r="V35" s="46">
        <v>193</v>
      </c>
      <c r="W35" s="46">
        <v>-113</v>
      </c>
      <c r="X35" s="46">
        <v>281</v>
      </c>
      <c r="Y35" s="46">
        <v>-1040</v>
      </c>
      <c r="Z35" s="46">
        <v>431</v>
      </c>
      <c r="AA35" s="46">
        <v>1422</v>
      </c>
      <c r="AB35" s="46">
        <v>-1380</v>
      </c>
      <c r="AC35" s="46">
        <v>435</v>
      </c>
      <c r="AD35" s="46">
        <v>-381</v>
      </c>
      <c r="AE35" s="46">
        <v>339</v>
      </c>
      <c r="AF35" s="46">
        <v>-1084</v>
      </c>
      <c r="AG35" s="46">
        <v>-147</v>
      </c>
      <c r="AH35" s="46">
        <v>-669</v>
      </c>
      <c r="AI35" s="46">
        <v>220</v>
      </c>
      <c r="AJ35" s="46">
        <v>417</v>
      </c>
      <c r="AK35" s="46">
        <v>-590</v>
      </c>
      <c r="AL35" s="46">
        <v>-1055</v>
      </c>
      <c r="AM35" s="46">
        <v>-404</v>
      </c>
      <c r="AN35" s="46">
        <v>-373</v>
      </c>
      <c r="AO35" s="184">
        <v>-714</v>
      </c>
      <c r="AP35" s="184">
        <v>246</v>
      </c>
      <c r="AQ35" s="184">
        <v>1153</v>
      </c>
      <c r="AR35" s="184">
        <v>-1520</v>
      </c>
      <c r="AS35" s="184">
        <v>2044</v>
      </c>
      <c r="AT35" s="184">
        <v>248</v>
      </c>
      <c r="AU35" s="184">
        <v>1250</v>
      </c>
      <c r="AV35" s="184">
        <v>-811</v>
      </c>
      <c r="AW35" s="184">
        <v>637</v>
      </c>
      <c r="AX35" s="184">
        <v>-1316</v>
      </c>
      <c r="AY35" s="184">
        <v>-1506</v>
      </c>
      <c r="AZ35" s="184">
        <v>719</v>
      </c>
      <c r="BA35" s="184">
        <v>-656</v>
      </c>
      <c r="BB35" s="184">
        <v>-1612</v>
      </c>
      <c r="BC35" s="184">
        <v>653</v>
      </c>
      <c r="BD35" s="184">
        <v>-3692</v>
      </c>
      <c r="BE35" s="184">
        <v>20</v>
      </c>
      <c r="BF35" s="184">
        <v>-29</v>
      </c>
    </row>
    <row r="36" spans="2:58" ht="12.75">
      <c r="B36" s="26" t="s">
        <v>118</v>
      </c>
      <c r="C36" s="34"/>
      <c r="D36" s="46">
        <v>0</v>
      </c>
      <c r="E36" s="46">
        <v>0</v>
      </c>
      <c r="F36" s="46">
        <v>0</v>
      </c>
      <c r="G36" s="46">
        <v>0</v>
      </c>
      <c r="H36" s="46">
        <v>0</v>
      </c>
      <c r="I36" s="46">
        <v>0</v>
      </c>
      <c r="J36" s="46">
        <v>0</v>
      </c>
      <c r="K36" s="46">
        <v>-106</v>
      </c>
      <c r="L36" s="46">
        <v>3936</v>
      </c>
      <c r="M36" s="46">
        <v>1167</v>
      </c>
      <c r="N36" s="46">
        <v>2269</v>
      </c>
      <c r="O36" s="46">
        <v>-491</v>
      </c>
      <c r="P36" s="46">
        <v>-1283</v>
      </c>
      <c r="Q36" s="46">
        <v>-1603</v>
      </c>
      <c r="R36" s="46">
        <v>-1009</v>
      </c>
      <c r="S36" s="46">
        <v>-94</v>
      </c>
      <c r="T36" s="46">
        <v>216</v>
      </c>
      <c r="U36" s="46">
        <v>0</v>
      </c>
      <c r="V36" s="46">
        <v>-95</v>
      </c>
      <c r="W36" s="46">
        <v>29</v>
      </c>
      <c r="X36" s="46">
        <v>-25</v>
      </c>
      <c r="Y36" s="46">
        <v>86</v>
      </c>
      <c r="Z36" s="46">
        <v>-470</v>
      </c>
      <c r="AA36" s="46">
        <v>-143</v>
      </c>
      <c r="AB36" s="46">
        <v>28</v>
      </c>
      <c r="AC36" s="46">
        <v>-177</v>
      </c>
      <c r="AD36" s="46">
        <v>8</v>
      </c>
      <c r="AE36" s="46">
        <v>-388</v>
      </c>
      <c r="AF36" s="46">
        <v>318</v>
      </c>
      <c r="AG36" s="46">
        <v>353</v>
      </c>
      <c r="AH36" s="46">
        <v>101</v>
      </c>
      <c r="AI36" s="46">
        <v>75</v>
      </c>
      <c r="AJ36" s="46">
        <v>-67</v>
      </c>
      <c r="AK36" s="46">
        <v>8</v>
      </c>
      <c r="AL36" s="46">
        <v>297</v>
      </c>
      <c r="AM36" s="46">
        <v>13</v>
      </c>
      <c r="AN36" s="46">
        <v>73</v>
      </c>
      <c r="AO36" s="184">
        <v>312</v>
      </c>
      <c r="AP36" s="184">
        <v>11</v>
      </c>
      <c r="AQ36" s="184">
        <v>-125</v>
      </c>
      <c r="AR36" s="184">
        <v>130</v>
      </c>
      <c r="AS36" s="184">
        <v>-567</v>
      </c>
      <c r="AT36" s="184">
        <v>-185</v>
      </c>
      <c r="AU36" s="184">
        <v>-525</v>
      </c>
      <c r="AV36" s="184">
        <v>-179</v>
      </c>
      <c r="AW36" s="184">
        <v>-46</v>
      </c>
      <c r="AX36" s="184">
        <v>0</v>
      </c>
      <c r="AY36" s="184">
        <v>56</v>
      </c>
      <c r="AZ36" s="184">
        <v>14</v>
      </c>
      <c r="BA36" s="184">
        <v>-13</v>
      </c>
      <c r="BB36" s="184">
        <v>35</v>
      </c>
      <c r="BC36" s="184">
        <v>141</v>
      </c>
      <c r="BD36" s="184">
        <v>-3</v>
      </c>
      <c r="BE36" s="184">
        <v>65</v>
      </c>
      <c r="BF36" s="184">
        <v>8</v>
      </c>
    </row>
    <row r="37" spans="2:58" ht="12.75">
      <c r="B37" s="26" t="s">
        <v>269</v>
      </c>
      <c r="D37" s="46">
        <v>3999</v>
      </c>
      <c r="E37" s="46">
        <v>-2443</v>
      </c>
      <c r="F37" s="46">
        <v>323</v>
      </c>
      <c r="G37" s="46">
        <v>-3192</v>
      </c>
      <c r="H37" s="46">
        <v>6206</v>
      </c>
      <c r="I37" s="46">
        <v>1103</v>
      </c>
      <c r="J37" s="46">
        <v>-7516</v>
      </c>
      <c r="K37" s="46">
        <v>-15227</v>
      </c>
      <c r="L37" s="46">
        <v>13168</v>
      </c>
      <c r="M37" s="46">
        <v>-582</v>
      </c>
      <c r="N37" s="46">
        <v>-7321</v>
      </c>
      <c r="O37" s="46">
        <v>1492</v>
      </c>
      <c r="P37" s="46">
        <v>-1379</v>
      </c>
      <c r="Q37" s="46">
        <v>-917</v>
      </c>
      <c r="R37" s="46">
        <v>0</v>
      </c>
      <c r="S37" s="46">
        <v>323</v>
      </c>
      <c r="T37" s="46">
        <v>-5473</v>
      </c>
      <c r="U37" s="46">
        <v>-1209</v>
      </c>
      <c r="V37" s="46">
        <v>1200</v>
      </c>
      <c r="W37" s="46">
        <v>-709</v>
      </c>
      <c r="X37" s="46">
        <v>-614</v>
      </c>
      <c r="Y37" s="46">
        <v>-567</v>
      </c>
      <c r="Z37" s="46">
        <v>1467</v>
      </c>
      <c r="AA37" s="46">
        <v>1241</v>
      </c>
      <c r="AB37" s="46">
        <v>-2403</v>
      </c>
      <c r="AC37" s="46">
        <v>38</v>
      </c>
      <c r="AD37" s="46">
        <v>169</v>
      </c>
      <c r="AE37" s="46">
        <v>159</v>
      </c>
      <c r="AF37" s="46">
        <v>2992</v>
      </c>
      <c r="AG37" s="46">
        <v>-1274</v>
      </c>
      <c r="AH37" s="46">
        <v>893</v>
      </c>
      <c r="AI37" s="46">
        <v>361</v>
      </c>
      <c r="AJ37" s="46">
        <v>-199</v>
      </c>
      <c r="AK37" s="46">
        <v>1219</v>
      </c>
      <c r="AL37" s="46">
        <v>319</v>
      </c>
      <c r="AM37" s="46">
        <v>422</v>
      </c>
      <c r="AN37" s="46">
        <v>-39</v>
      </c>
      <c r="AO37" s="184">
        <v>327</v>
      </c>
      <c r="AP37" s="184">
        <v>-769</v>
      </c>
      <c r="AQ37" s="184">
        <v>110</v>
      </c>
      <c r="AR37" s="184">
        <v>641</v>
      </c>
      <c r="AS37" s="184">
        <v>-767</v>
      </c>
      <c r="AT37" s="184">
        <v>87</v>
      </c>
      <c r="AU37" s="184">
        <v>-270</v>
      </c>
      <c r="AV37" s="184">
        <v>322</v>
      </c>
      <c r="AW37" s="184">
        <v>58</v>
      </c>
      <c r="AX37" s="184">
        <v>327</v>
      </c>
      <c r="AY37" s="184">
        <v>-344</v>
      </c>
      <c r="AZ37" s="184">
        <v>-13</v>
      </c>
      <c r="BA37" s="184">
        <v>-32</v>
      </c>
      <c r="BB37" s="184">
        <v>186</v>
      </c>
      <c r="BC37" s="184">
        <v>-108</v>
      </c>
      <c r="BD37" s="184">
        <v>35</v>
      </c>
      <c r="BE37" s="184">
        <v>0</v>
      </c>
      <c r="BF37" s="184">
        <v>0</v>
      </c>
    </row>
    <row r="38" spans="2:58" ht="12.75">
      <c r="B38" s="26" t="s">
        <v>32</v>
      </c>
      <c r="D38" s="46">
        <v>0</v>
      </c>
      <c r="E38" s="46">
        <v>0</v>
      </c>
      <c r="F38" s="46">
        <v>3913</v>
      </c>
      <c r="G38" s="46">
        <v>689</v>
      </c>
      <c r="H38" s="46">
        <v>11625</v>
      </c>
      <c r="I38" s="46">
        <v>1026</v>
      </c>
      <c r="J38" s="46">
        <v>5323</v>
      </c>
      <c r="K38" s="46">
        <v>-139</v>
      </c>
      <c r="L38" s="46">
        <v>-16059</v>
      </c>
      <c r="M38" s="46">
        <v>-1787</v>
      </c>
      <c r="N38" s="46">
        <v>-19387</v>
      </c>
      <c r="O38" s="41">
        <v>0</v>
      </c>
      <c r="P38" s="41">
        <v>0</v>
      </c>
      <c r="Q38" s="46">
        <v>0</v>
      </c>
      <c r="R38" s="46">
        <v>0</v>
      </c>
      <c r="S38" s="46">
        <v>0</v>
      </c>
      <c r="T38" s="46">
        <v>2683</v>
      </c>
      <c r="U38" s="46">
        <v>1096</v>
      </c>
      <c r="V38" s="46">
        <v>2644</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184">
        <v>0</v>
      </c>
      <c r="AP38" s="184">
        <v>0</v>
      </c>
      <c r="AQ38" s="184">
        <v>0</v>
      </c>
      <c r="AR38" s="184">
        <v>0</v>
      </c>
      <c r="AS38" s="184">
        <v>0</v>
      </c>
      <c r="AT38" s="184">
        <v>0</v>
      </c>
      <c r="AU38" s="184">
        <v>0</v>
      </c>
      <c r="AV38" s="184">
        <v>0</v>
      </c>
      <c r="AW38" s="184">
        <v>0</v>
      </c>
      <c r="AX38" s="184">
        <v>0</v>
      </c>
      <c r="AY38" s="184">
        <v>0</v>
      </c>
      <c r="AZ38" s="184">
        <v>0</v>
      </c>
      <c r="BA38" s="184">
        <v>0</v>
      </c>
      <c r="BB38" s="184">
        <v>0</v>
      </c>
      <c r="BC38" s="184">
        <v>0</v>
      </c>
      <c r="BD38" s="184">
        <v>0</v>
      </c>
      <c r="BE38" s="184">
        <v>0</v>
      </c>
      <c r="BF38" s="184">
        <v>0</v>
      </c>
    </row>
    <row r="39" spans="2:58" ht="12.75">
      <c r="B39" s="26" t="s">
        <v>268</v>
      </c>
      <c r="D39" s="44">
        <v>-9290</v>
      </c>
      <c r="E39" s="46">
        <v>-2940</v>
      </c>
      <c r="F39" s="44">
        <v>125399</v>
      </c>
      <c r="G39" s="46">
        <v>0</v>
      </c>
      <c r="H39" s="46">
        <v>155415</v>
      </c>
      <c r="I39" s="46">
        <v>-4132</v>
      </c>
      <c r="J39" s="46">
        <v>120649</v>
      </c>
      <c r="K39" s="46">
        <v>0</v>
      </c>
      <c r="L39" s="46">
        <v>-29704</v>
      </c>
      <c r="M39" s="46">
        <v>-83543</v>
      </c>
      <c r="N39" s="46">
        <v>-51386</v>
      </c>
      <c r="O39" s="46">
        <v>-143685</v>
      </c>
      <c r="P39" s="46">
        <v>-1208</v>
      </c>
      <c r="Q39" s="46">
        <v>-29940</v>
      </c>
      <c r="R39" s="46">
        <v>-4354</v>
      </c>
      <c r="S39" s="46">
        <v>-953</v>
      </c>
      <c r="T39" s="46">
        <v>-530</v>
      </c>
      <c r="U39" s="46">
        <v>30094</v>
      </c>
      <c r="V39" s="46">
        <v>51</v>
      </c>
      <c r="W39" s="46">
        <v>-774</v>
      </c>
      <c r="X39" s="46">
        <v>-1157</v>
      </c>
      <c r="Y39" s="46">
        <v>19039</v>
      </c>
      <c r="Z39" s="46">
        <v>-553</v>
      </c>
      <c r="AA39" s="46">
        <v>-377</v>
      </c>
      <c r="AB39" s="46">
        <v>4497</v>
      </c>
      <c r="AC39" s="46">
        <v>64420</v>
      </c>
      <c r="AD39" s="46">
        <v>-2039</v>
      </c>
      <c r="AE39" s="46">
        <v>-2076</v>
      </c>
      <c r="AF39" s="46">
        <v>-1119</v>
      </c>
      <c r="AG39" s="46">
        <v>100466</v>
      </c>
      <c r="AH39" s="46">
        <v>-439</v>
      </c>
      <c r="AI39" s="46">
        <v>-763</v>
      </c>
      <c r="AJ39" s="46">
        <v>-812</v>
      </c>
      <c r="AK39" s="46">
        <v>29434</v>
      </c>
      <c r="AL39" s="46">
        <v>-87</v>
      </c>
      <c r="AM39" s="46">
        <v>-525</v>
      </c>
      <c r="AN39" s="46">
        <v>-397</v>
      </c>
      <c r="AO39" s="184">
        <v>6396</v>
      </c>
      <c r="AP39" s="184">
        <v>-141</v>
      </c>
      <c r="AQ39" s="184">
        <v>-1133</v>
      </c>
      <c r="AR39" s="184">
        <v>-588</v>
      </c>
      <c r="AS39" s="184">
        <v>1172</v>
      </c>
      <c r="AT39" s="184">
        <v>281</v>
      </c>
      <c r="AU39" s="184">
        <v>69</v>
      </c>
      <c r="AV39" s="184">
        <v>178</v>
      </c>
      <c r="AW39" s="184">
        <v>59538</v>
      </c>
      <c r="AX39" s="184">
        <v>48</v>
      </c>
      <c r="AY39" s="184">
        <v>-396</v>
      </c>
      <c r="AZ39" s="184">
        <v>-362</v>
      </c>
      <c r="BA39" s="184">
        <v>21610</v>
      </c>
      <c r="BB39" s="184">
        <v>598</v>
      </c>
      <c r="BC39" s="184">
        <v>109</v>
      </c>
      <c r="BD39" s="184">
        <v>132</v>
      </c>
      <c r="BE39" s="184">
        <v>107565</v>
      </c>
      <c r="BF39" s="184">
        <v>-5891</v>
      </c>
    </row>
    <row r="40" spans="2:58" ht="12.75">
      <c r="B40" s="26" t="s">
        <v>130</v>
      </c>
      <c r="D40" s="44">
        <v>0</v>
      </c>
      <c r="E40" s="44">
        <v>0</v>
      </c>
      <c r="F40" s="44">
        <v>0</v>
      </c>
      <c r="G40" s="44">
        <v>0</v>
      </c>
      <c r="H40" s="44">
        <v>0</v>
      </c>
      <c r="I40" s="44">
        <v>0</v>
      </c>
      <c r="J40" s="44">
        <v>0</v>
      </c>
      <c r="K40" s="44">
        <v>0</v>
      </c>
      <c r="L40" s="44">
        <v>0</v>
      </c>
      <c r="M40" s="44">
        <v>0</v>
      </c>
      <c r="N40" s="44">
        <v>0</v>
      </c>
      <c r="O40" s="44">
        <v>0</v>
      </c>
      <c r="P40" s="44">
        <v>0</v>
      </c>
      <c r="Q40" s="44">
        <v>0</v>
      </c>
      <c r="R40" s="44">
        <v>0</v>
      </c>
      <c r="S40" s="44">
        <v>0</v>
      </c>
      <c r="T40" s="44">
        <v>0</v>
      </c>
      <c r="U40" s="44">
        <v>0</v>
      </c>
      <c r="V40" s="44">
        <v>0</v>
      </c>
      <c r="W40" s="46">
        <v>861</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184">
        <v>0</v>
      </c>
      <c r="AP40" s="184">
        <v>0</v>
      </c>
      <c r="AQ40" s="184">
        <v>0</v>
      </c>
      <c r="AR40" s="184">
        <v>0</v>
      </c>
      <c r="AS40" s="184">
        <v>0</v>
      </c>
      <c r="AT40" s="184">
        <v>0</v>
      </c>
      <c r="AU40" s="184">
        <v>0</v>
      </c>
      <c r="AV40" s="184">
        <v>0</v>
      </c>
      <c r="AW40" s="184">
        <v>0</v>
      </c>
      <c r="AX40" s="184">
        <v>0</v>
      </c>
      <c r="AY40" s="184">
        <v>0</v>
      </c>
      <c r="AZ40" s="184">
        <v>0</v>
      </c>
      <c r="BA40" s="184">
        <v>0</v>
      </c>
      <c r="BB40" s="184">
        <v>0</v>
      </c>
      <c r="BC40" s="184">
        <v>0</v>
      </c>
      <c r="BD40" s="184">
        <v>0</v>
      </c>
      <c r="BE40" s="184">
        <v>0</v>
      </c>
      <c r="BF40" s="184">
        <v>0</v>
      </c>
    </row>
    <row r="41" spans="2:58" ht="12.75">
      <c r="B41" s="26" t="s">
        <v>146</v>
      </c>
      <c r="D41" s="44"/>
      <c r="E41" s="44"/>
      <c r="F41" s="44"/>
      <c r="G41" s="44"/>
      <c r="H41" s="44"/>
      <c r="I41" s="44"/>
      <c r="J41" s="44"/>
      <c r="K41" s="44">
        <v>0</v>
      </c>
      <c r="L41" s="44">
        <v>0</v>
      </c>
      <c r="M41" s="44">
        <v>0</v>
      </c>
      <c r="N41" s="44">
        <v>0</v>
      </c>
      <c r="O41" s="44">
        <v>0</v>
      </c>
      <c r="P41" s="44">
        <v>0</v>
      </c>
      <c r="Q41" s="44">
        <v>0</v>
      </c>
      <c r="R41" s="44">
        <v>0</v>
      </c>
      <c r="S41" s="44">
        <v>0</v>
      </c>
      <c r="T41" s="44">
        <v>0</v>
      </c>
      <c r="U41" s="44">
        <v>0</v>
      </c>
      <c r="V41" s="44">
        <v>0</v>
      </c>
      <c r="W41" s="46">
        <v>0</v>
      </c>
      <c r="X41" s="46">
        <v>0</v>
      </c>
      <c r="Y41" s="46">
        <v>0</v>
      </c>
      <c r="Z41" s="46">
        <v>0</v>
      </c>
      <c r="AA41" s="46">
        <v>0</v>
      </c>
      <c r="AB41" s="46">
        <v>0</v>
      </c>
      <c r="AC41" s="46">
        <v>72800</v>
      </c>
      <c r="AD41" s="46">
        <v>0</v>
      </c>
      <c r="AE41" s="46">
        <v>0</v>
      </c>
      <c r="AF41" s="46">
        <v>0</v>
      </c>
      <c r="AG41" s="46">
        <v>0</v>
      </c>
      <c r="AH41" s="46">
        <v>0</v>
      </c>
      <c r="AI41" s="46">
        <v>0</v>
      </c>
      <c r="AJ41" s="46">
        <v>0</v>
      </c>
      <c r="AK41" s="46">
        <v>0</v>
      </c>
      <c r="AL41" s="46">
        <v>0</v>
      </c>
      <c r="AM41" s="46">
        <v>0</v>
      </c>
      <c r="AN41" s="46">
        <v>0</v>
      </c>
      <c r="AO41" s="184">
        <v>0</v>
      </c>
      <c r="AP41" s="184">
        <v>0</v>
      </c>
      <c r="AQ41" s="184">
        <v>0</v>
      </c>
      <c r="AR41" s="184">
        <v>0</v>
      </c>
      <c r="AS41" s="184">
        <v>0</v>
      </c>
      <c r="AT41" s="184">
        <v>0</v>
      </c>
      <c r="AU41" s="184">
        <v>0</v>
      </c>
      <c r="AV41" s="184">
        <v>0</v>
      </c>
      <c r="AW41" s="184">
        <v>0</v>
      </c>
      <c r="AX41" s="184">
        <v>0</v>
      </c>
      <c r="AY41" s="184">
        <v>0</v>
      </c>
      <c r="AZ41" s="184">
        <v>0</v>
      </c>
      <c r="BA41" s="184">
        <v>75724</v>
      </c>
      <c r="BB41" s="184">
        <v>0</v>
      </c>
      <c r="BC41" s="184">
        <v>0</v>
      </c>
      <c r="BD41" s="184">
        <v>0</v>
      </c>
      <c r="BE41" s="184">
        <v>0</v>
      </c>
      <c r="BF41" s="184">
        <v>0</v>
      </c>
    </row>
    <row r="42" spans="2:58" ht="12.75">
      <c r="B42" s="26" t="s">
        <v>131</v>
      </c>
      <c r="D42" s="44">
        <v>0</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6">
        <v>16423</v>
      </c>
      <c r="X42" s="46">
        <v>-3620</v>
      </c>
      <c r="Y42" s="44">
        <v>0</v>
      </c>
      <c r="Z42" s="46">
        <v>0</v>
      </c>
      <c r="AA42" s="46">
        <v>0</v>
      </c>
      <c r="AB42" s="46">
        <v>0</v>
      </c>
      <c r="AC42" s="46">
        <v>0</v>
      </c>
      <c r="AD42" s="46">
        <v>18155</v>
      </c>
      <c r="AE42" s="46">
        <v>0</v>
      </c>
      <c r="AF42" s="46">
        <v>0</v>
      </c>
      <c r="AG42" s="46">
        <v>0</v>
      </c>
      <c r="AH42" s="46">
        <v>0</v>
      </c>
      <c r="AI42" s="46">
        <v>0</v>
      </c>
      <c r="AJ42" s="46">
        <v>0</v>
      </c>
      <c r="AK42" s="46">
        <v>0</v>
      </c>
      <c r="AL42" s="46">
        <v>0</v>
      </c>
      <c r="AM42" s="46">
        <v>0</v>
      </c>
      <c r="AN42" s="46">
        <v>0</v>
      </c>
      <c r="AO42" s="184">
        <v>0</v>
      </c>
      <c r="AP42" s="184">
        <v>0</v>
      </c>
      <c r="AQ42" s="184">
        <v>0</v>
      </c>
      <c r="AR42" s="184">
        <v>0</v>
      </c>
      <c r="AS42" s="184">
        <v>0</v>
      </c>
      <c r="AT42" s="184">
        <v>0</v>
      </c>
      <c r="AU42" s="184">
        <v>0</v>
      </c>
      <c r="AV42" s="184">
        <v>0</v>
      </c>
      <c r="AW42" s="184">
        <v>0</v>
      </c>
      <c r="AX42" s="184">
        <v>0</v>
      </c>
      <c r="AY42" s="184">
        <v>0</v>
      </c>
      <c r="AZ42" s="184">
        <v>0</v>
      </c>
      <c r="BA42" s="184">
        <v>0</v>
      </c>
      <c r="BB42" s="184">
        <v>0</v>
      </c>
      <c r="BC42" s="184">
        <v>0</v>
      </c>
      <c r="BD42" s="184">
        <v>0</v>
      </c>
      <c r="BE42" s="184">
        <v>0</v>
      </c>
      <c r="BF42" s="184">
        <v>0</v>
      </c>
    </row>
    <row r="43" spans="2:58" ht="12.75">
      <c r="B43" s="34"/>
      <c r="C43" s="34"/>
      <c r="D43" s="51">
        <v>842</v>
      </c>
      <c r="E43" s="51">
        <v>1039</v>
      </c>
      <c r="F43" s="51">
        <v>136196</v>
      </c>
      <c r="G43" s="51">
        <v>3875</v>
      </c>
      <c r="H43" s="51">
        <v>183648</v>
      </c>
      <c r="I43" s="51">
        <v>7383</v>
      </c>
      <c r="J43" s="51">
        <v>125229</v>
      </c>
      <c r="K43" s="51">
        <v>-14027</v>
      </c>
      <c r="L43" s="51">
        <v>-10557</v>
      </c>
      <c r="M43" s="51">
        <v>-88342</v>
      </c>
      <c r="N43" s="51">
        <v>-101420</v>
      </c>
      <c r="O43" s="51">
        <v>-138674</v>
      </c>
      <c r="P43" s="51">
        <v>779</v>
      </c>
      <c r="Q43" s="51">
        <v>-33316</v>
      </c>
      <c r="R43" s="51">
        <v>3945</v>
      </c>
      <c r="S43" s="51">
        <v>8195</v>
      </c>
      <c r="T43" s="51">
        <v>3887</v>
      </c>
      <c r="U43" s="51">
        <v>37754</v>
      </c>
      <c r="V43" s="51">
        <v>11478</v>
      </c>
      <c r="W43" s="51">
        <v>25027</v>
      </c>
      <c r="X43" s="51">
        <f aca="true" t="shared" si="25" ref="X43:AC43">SUM(X35:X42)</f>
        <v>-5135</v>
      </c>
      <c r="Y43" s="51">
        <f t="shared" si="25"/>
        <v>17518</v>
      </c>
      <c r="Z43" s="51">
        <f t="shared" si="25"/>
        <v>875</v>
      </c>
      <c r="AA43" s="51">
        <f t="shared" si="25"/>
        <v>2143</v>
      </c>
      <c r="AB43" s="51">
        <f t="shared" si="25"/>
        <v>742</v>
      </c>
      <c r="AC43" s="51">
        <f t="shared" si="25"/>
        <v>137516</v>
      </c>
      <c r="AD43" s="51">
        <f aca="true" t="shared" si="26" ref="AD43:AI43">SUM(AD35:AD42)</f>
        <v>15912</v>
      </c>
      <c r="AE43" s="51">
        <f t="shared" si="26"/>
        <v>-1966</v>
      </c>
      <c r="AF43" s="51">
        <f t="shared" si="26"/>
        <v>1107</v>
      </c>
      <c r="AG43" s="51">
        <f t="shared" si="26"/>
        <v>99398</v>
      </c>
      <c r="AH43" s="51">
        <f t="shared" si="26"/>
        <v>-114</v>
      </c>
      <c r="AI43" s="51">
        <f t="shared" si="26"/>
        <v>-107</v>
      </c>
      <c r="AJ43" s="51">
        <f aca="true" t="shared" si="27" ref="AJ43:AP43">SUM(AJ35:AJ42)</f>
        <v>-661</v>
      </c>
      <c r="AK43" s="51">
        <f t="shared" si="27"/>
        <v>30071</v>
      </c>
      <c r="AL43" s="51">
        <f t="shared" si="27"/>
        <v>-526</v>
      </c>
      <c r="AM43" s="51">
        <f t="shared" si="27"/>
        <v>-494</v>
      </c>
      <c r="AN43" s="51">
        <f t="shared" si="27"/>
        <v>-736</v>
      </c>
      <c r="AO43" s="183">
        <f t="shared" si="27"/>
        <v>6321</v>
      </c>
      <c r="AP43" s="183">
        <f t="shared" si="27"/>
        <v>-653</v>
      </c>
      <c r="AQ43" s="183">
        <f aca="true" t="shared" si="28" ref="AQ43:AW43">SUM(AQ35:AQ42)</f>
        <v>5</v>
      </c>
      <c r="AR43" s="183">
        <f t="shared" si="28"/>
        <v>-1337</v>
      </c>
      <c r="AS43" s="183">
        <f t="shared" si="28"/>
        <v>1882</v>
      </c>
      <c r="AT43" s="183">
        <f t="shared" si="28"/>
        <v>431</v>
      </c>
      <c r="AU43" s="183">
        <f t="shared" si="28"/>
        <v>524</v>
      </c>
      <c r="AV43" s="183">
        <f t="shared" si="28"/>
        <v>-490</v>
      </c>
      <c r="AW43" s="183">
        <f t="shared" si="28"/>
        <v>60187</v>
      </c>
      <c r="AX43" s="183">
        <f aca="true" t="shared" si="29" ref="AX43:BC43">SUM(AX35:AX42)</f>
        <v>-941</v>
      </c>
      <c r="AY43" s="183">
        <f t="shared" si="29"/>
        <v>-2190</v>
      </c>
      <c r="AZ43" s="183">
        <f t="shared" si="29"/>
        <v>358</v>
      </c>
      <c r="BA43" s="183">
        <f t="shared" si="29"/>
        <v>96633</v>
      </c>
      <c r="BB43" s="183">
        <f t="shared" si="29"/>
        <v>-793</v>
      </c>
      <c r="BC43" s="183">
        <f t="shared" si="29"/>
        <v>795</v>
      </c>
      <c r="BD43" s="183">
        <f>SUM(BD35:BD42)</f>
        <v>-3528</v>
      </c>
      <c r="BE43" s="183">
        <f>SUM(BE35:BE42)</f>
        <v>107650</v>
      </c>
      <c r="BF43" s="183">
        <f>SUM(BF35:BF42)</f>
        <v>-5912</v>
      </c>
    </row>
    <row r="44" spans="2:46" ht="12.75">
      <c r="B44" s="34"/>
      <c r="C44" s="34"/>
      <c r="D44" s="43"/>
      <c r="F44" s="43"/>
      <c r="G44" s="43"/>
      <c r="H44" s="43"/>
      <c r="I44" s="43"/>
      <c r="J44" s="43"/>
      <c r="K44" s="46"/>
      <c r="L44" s="46"/>
      <c r="M44" s="46"/>
      <c r="N44" s="46"/>
      <c r="O44" s="46"/>
      <c r="P44" s="46"/>
      <c r="Q44" s="46"/>
      <c r="R44" s="46"/>
      <c r="S44" s="46"/>
      <c r="T44" s="46"/>
      <c r="U44" s="46"/>
      <c r="V44" s="46"/>
      <c r="X44" s="146"/>
      <c r="AT44" s="80"/>
    </row>
    <row r="45" spans="2:58" ht="12.75">
      <c r="B45" s="26" t="s">
        <v>220</v>
      </c>
      <c r="D45" s="46">
        <v>842</v>
      </c>
      <c r="E45" s="46">
        <v>1039</v>
      </c>
      <c r="F45" s="46">
        <v>136196</v>
      </c>
      <c r="G45" s="46">
        <v>3875</v>
      </c>
      <c r="H45" s="46">
        <v>183648</v>
      </c>
      <c r="I45" s="46">
        <v>7383</v>
      </c>
      <c r="J45" s="46">
        <v>125229</v>
      </c>
      <c r="K45" s="46">
        <v>-14027</v>
      </c>
      <c r="L45" s="46">
        <v>-10557</v>
      </c>
      <c r="M45" s="46">
        <v>-88342</v>
      </c>
      <c r="N45" s="46">
        <v>-101420</v>
      </c>
      <c r="O45" s="46">
        <v>-138674</v>
      </c>
      <c r="P45" s="46">
        <v>779</v>
      </c>
      <c r="Q45" s="46">
        <v>-33316</v>
      </c>
      <c r="R45" s="46">
        <v>3945</v>
      </c>
      <c r="S45" s="46">
        <v>8195</v>
      </c>
      <c r="T45" s="46">
        <v>3887</v>
      </c>
      <c r="U45" s="46">
        <v>37754</v>
      </c>
      <c r="V45" s="46">
        <v>11478</v>
      </c>
      <c r="W45" s="46">
        <v>25027</v>
      </c>
      <c r="X45" s="46">
        <f aca="true" t="shared" si="30" ref="X45:AC45">X33+X43</f>
        <v>4004</v>
      </c>
      <c r="Y45" s="46">
        <f t="shared" si="30"/>
        <v>26767</v>
      </c>
      <c r="Z45" s="46">
        <f t="shared" si="30"/>
        <v>8661</v>
      </c>
      <c r="AA45" s="46">
        <f t="shared" si="30"/>
        <v>13740</v>
      </c>
      <c r="AB45" s="46">
        <f t="shared" si="30"/>
        <v>10144</v>
      </c>
      <c r="AC45" s="46">
        <f t="shared" si="30"/>
        <v>152421</v>
      </c>
      <c r="AD45" s="46">
        <f aca="true" t="shared" si="31" ref="AD45:AI45">AD33+AD43</f>
        <v>29198</v>
      </c>
      <c r="AE45" s="46">
        <f t="shared" si="31"/>
        <v>12780</v>
      </c>
      <c r="AF45" s="46">
        <f t="shared" si="31"/>
        <v>15400</v>
      </c>
      <c r="AG45" s="46">
        <f t="shared" si="31"/>
        <v>112738</v>
      </c>
      <c r="AH45" s="46">
        <f t="shared" si="31"/>
        <v>13659</v>
      </c>
      <c r="AI45" s="46">
        <f t="shared" si="31"/>
        <v>13349</v>
      </c>
      <c r="AJ45" s="46">
        <f aca="true" t="shared" si="32" ref="AJ45:AO45">AJ33+AJ43</f>
        <v>13841</v>
      </c>
      <c r="AK45" s="46">
        <f t="shared" si="32"/>
        <v>44523</v>
      </c>
      <c r="AL45" s="46">
        <f t="shared" si="32"/>
        <v>16489</v>
      </c>
      <c r="AM45" s="46">
        <f t="shared" si="32"/>
        <v>15516</v>
      </c>
      <c r="AN45" s="46">
        <f t="shared" si="32"/>
        <v>14814</v>
      </c>
      <c r="AO45" s="184">
        <f t="shared" si="32"/>
        <v>23177</v>
      </c>
      <c r="AP45" s="184">
        <f aca="true" t="shared" si="33" ref="AP45:AU45">AP33+AP43</f>
        <v>18914</v>
      </c>
      <c r="AQ45" s="184">
        <f t="shared" si="33"/>
        <v>19095</v>
      </c>
      <c r="AR45" s="184">
        <f t="shared" si="33"/>
        <v>17321</v>
      </c>
      <c r="AS45" s="184">
        <f t="shared" si="33"/>
        <v>20750</v>
      </c>
      <c r="AT45" s="184">
        <f t="shared" si="33"/>
        <v>19959</v>
      </c>
      <c r="AU45" s="184">
        <f t="shared" si="33"/>
        <v>20304</v>
      </c>
      <c r="AV45" s="184">
        <f aca="true" t="shared" si="34" ref="AV45:BA45">AV33+AV43</f>
        <v>17710</v>
      </c>
      <c r="AW45" s="184">
        <f t="shared" si="34"/>
        <v>77143</v>
      </c>
      <c r="AX45" s="184">
        <f t="shared" si="34"/>
        <v>14226</v>
      </c>
      <c r="AY45" s="184">
        <f t="shared" si="34"/>
        <v>11621</v>
      </c>
      <c r="AZ45" s="184">
        <f t="shared" si="34"/>
        <v>11866</v>
      </c>
      <c r="BA45" s="184">
        <f t="shared" si="34"/>
        <v>110700</v>
      </c>
      <c r="BB45" s="184">
        <f>BB33+BB43</f>
        <v>13312</v>
      </c>
      <c r="BC45" s="184">
        <f>BC33+BC43</f>
        <v>13786</v>
      </c>
      <c r="BD45" s="184">
        <f>BD33+BD43</f>
        <v>9307</v>
      </c>
      <c r="BE45" s="184">
        <f>BE33+BE43</f>
        <v>123568</v>
      </c>
      <c r="BF45" s="184">
        <f>BF33+BF43</f>
        <v>12918</v>
      </c>
    </row>
    <row r="46" spans="2:58" ht="12.75">
      <c r="B46" s="26" t="s">
        <v>97</v>
      </c>
      <c r="D46" s="46">
        <v>-924</v>
      </c>
      <c r="E46" s="46">
        <v>-508</v>
      </c>
      <c r="F46" s="46">
        <v>-30584</v>
      </c>
      <c r="G46" s="46">
        <v>-374</v>
      </c>
      <c r="H46" s="46">
        <v>-21492</v>
      </c>
      <c r="I46" s="46">
        <v>-286</v>
      </c>
      <c r="J46" s="46">
        <v>-8937</v>
      </c>
      <c r="K46" s="46">
        <v>-425</v>
      </c>
      <c r="L46" s="46">
        <v>109</v>
      </c>
      <c r="M46" s="46">
        <v>12419</v>
      </c>
      <c r="N46" s="46">
        <v>-136</v>
      </c>
      <c r="O46" s="46">
        <v>148</v>
      </c>
      <c r="P46" s="46">
        <v>322</v>
      </c>
      <c r="Q46" s="46">
        <v>431</v>
      </c>
      <c r="R46" s="46">
        <v>-370</v>
      </c>
      <c r="S46" s="46">
        <v>-895</v>
      </c>
      <c r="T46" s="46">
        <v>-324</v>
      </c>
      <c r="U46" s="46">
        <v>-2055</v>
      </c>
      <c r="V46" s="46">
        <v>-611</v>
      </c>
      <c r="W46" s="46">
        <v>-612</v>
      </c>
      <c r="X46" s="46">
        <v>-587</v>
      </c>
      <c r="Y46" s="46">
        <v>-556</v>
      </c>
      <c r="Z46" s="46">
        <v>-461</v>
      </c>
      <c r="AA46" s="46">
        <v>-722</v>
      </c>
      <c r="AB46" s="46">
        <v>-535</v>
      </c>
      <c r="AC46" s="46">
        <v>-14286</v>
      </c>
      <c r="AD46" s="46">
        <v>-435</v>
      </c>
      <c r="AE46" s="46">
        <v>-429</v>
      </c>
      <c r="AF46" s="46">
        <v>-418</v>
      </c>
      <c r="AG46" s="46">
        <v>-7066</v>
      </c>
      <c r="AH46" s="46">
        <v>-1350</v>
      </c>
      <c r="AI46" s="46">
        <v>-729</v>
      </c>
      <c r="AJ46" s="46">
        <v>-739</v>
      </c>
      <c r="AK46" s="46">
        <v>4671</v>
      </c>
      <c r="AL46" s="46">
        <v>-1116</v>
      </c>
      <c r="AM46" s="46">
        <v>-1017</v>
      </c>
      <c r="AN46" s="46">
        <v>-808</v>
      </c>
      <c r="AO46" s="184">
        <v>8143</v>
      </c>
      <c r="AP46" s="184">
        <v>-1214</v>
      </c>
      <c r="AQ46" s="184">
        <v>-1054</v>
      </c>
      <c r="AR46" s="184">
        <v>-1009</v>
      </c>
      <c r="AS46" s="184">
        <v>-1562</v>
      </c>
      <c r="AT46" s="184">
        <v>-1223</v>
      </c>
      <c r="AU46" s="184">
        <v>-1080</v>
      </c>
      <c r="AV46" s="184">
        <v>-1349</v>
      </c>
      <c r="AW46" s="184">
        <v>-20020</v>
      </c>
      <c r="AX46" s="184">
        <v>-1024</v>
      </c>
      <c r="AY46" s="184">
        <v>-288</v>
      </c>
      <c r="AZ46" s="184">
        <v>-1379</v>
      </c>
      <c r="BA46" s="184">
        <v>-4004</v>
      </c>
      <c r="BB46" s="184">
        <v>742</v>
      </c>
      <c r="BC46" s="184">
        <v>-168</v>
      </c>
      <c r="BD46" s="184">
        <v>2230</v>
      </c>
      <c r="BE46" s="184">
        <v>-14530</v>
      </c>
      <c r="BF46" s="184">
        <v>1956</v>
      </c>
    </row>
    <row r="47" spans="1:58" ht="12.75">
      <c r="A47" s="34" t="s">
        <v>17</v>
      </c>
      <c r="B47" s="34"/>
      <c r="C47" s="34"/>
      <c r="D47" s="51">
        <v>-82</v>
      </c>
      <c r="E47" s="51">
        <v>531</v>
      </c>
      <c r="F47" s="51">
        <v>105612</v>
      </c>
      <c r="G47" s="51">
        <v>3501</v>
      </c>
      <c r="H47" s="51">
        <v>162156</v>
      </c>
      <c r="I47" s="51">
        <v>7097</v>
      </c>
      <c r="J47" s="51">
        <v>116292</v>
      </c>
      <c r="K47" s="51">
        <v>-14452</v>
      </c>
      <c r="L47" s="51">
        <v>-10448</v>
      </c>
      <c r="M47" s="51">
        <v>-75923</v>
      </c>
      <c r="N47" s="51">
        <v>-101556</v>
      </c>
      <c r="O47" s="51">
        <v>-138526</v>
      </c>
      <c r="P47" s="51">
        <v>1101</v>
      </c>
      <c r="Q47" s="51">
        <v>-32885</v>
      </c>
      <c r="R47" s="51">
        <v>3575</v>
      </c>
      <c r="S47" s="51">
        <v>7300</v>
      </c>
      <c r="T47" s="51">
        <v>3563</v>
      </c>
      <c r="U47" s="51">
        <v>35699</v>
      </c>
      <c r="V47" s="51">
        <v>10867</v>
      </c>
      <c r="W47" s="51">
        <v>24415</v>
      </c>
      <c r="X47" s="51">
        <f aca="true" t="shared" si="35" ref="X47:AC47">SUM(X45:X46)</f>
        <v>3417</v>
      </c>
      <c r="Y47" s="51">
        <f t="shared" si="35"/>
        <v>26211</v>
      </c>
      <c r="Z47" s="51">
        <f t="shared" si="35"/>
        <v>8200</v>
      </c>
      <c r="AA47" s="51">
        <f t="shared" si="35"/>
        <v>13018</v>
      </c>
      <c r="AB47" s="51">
        <f t="shared" si="35"/>
        <v>9609</v>
      </c>
      <c r="AC47" s="51">
        <f t="shared" si="35"/>
        <v>138135</v>
      </c>
      <c r="AD47" s="51">
        <f aca="true" t="shared" si="36" ref="AD47:AI47">SUM(AD45:AD46)</f>
        <v>28763</v>
      </c>
      <c r="AE47" s="51">
        <f t="shared" si="36"/>
        <v>12351</v>
      </c>
      <c r="AF47" s="51">
        <f t="shared" si="36"/>
        <v>14982</v>
      </c>
      <c r="AG47" s="51">
        <f t="shared" si="36"/>
        <v>105672</v>
      </c>
      <c r="AH47" s="51">
        <f t="shared" si="36"/>
        <v>12309</v>
      </c>
      <c r="AI47" s="51">
        <f t="shared" si="36"/>
        <v>12620</v>
      </c>
      <c r="AJ47" s="51">
        <f aca="true" t="shared" si="37" ref="AJ47:AP47">SUM(AJ45:AJ46)</f>
        <v>13102</v>
      </c>
      <c r="AK47" s="51">
        <f t="shared" si="37"/>
        <v>49194</v>
      </c>
      <c r="AL47" s="51">
        <f t="shared" si="37"/>
        <v>15373</v>
      </c>
      <c r="AM47" s="51">
        <f t="shared" si="37"/>
        <v>14499</v>
      </c>
      <c r="AN47" s="51">
        <f t="shared" si="37"/>
        <v>14006</v>
      </c>
      <c r="AO47" s="183">
        <f t="shared" si="37"/>
        <v>31320</v>
      </c>
      <c r="AP47" s="183">
        <f t="shared" si="37"/>
        <v>17700</v>
      </c>
      <c r="AQ47" s="183">
        <f aca="true" t="shared" si="38" ref="AQ47:AW47">SUM(AQ45:AQ46)</f>
        <v>18041</v>
      </c>
      <c r="AR47" s="183">
        <f t="shared" si="38"/>
        <v>16312</v>
      </c>
      <c r="AS47" s="183">
        <f t="shared" si="38"/>
        <v>19188</v>
      </c>
      <c r="AT47" s="183">
        <f t="shared" si="38"/>
        <v>18736</v>
      </c>
      <c r="AU47" s="183">
        <f t="shared" si="38"/>
        <v>19224</v>
      </c>
      <c r="AV47" s="183">
        <f t="shared" si="38"/>
        <v>16361</v>
      </c>
      <c r="AW47" s="183">
        <f t="shared" si="38"/>
        <v>57123</v>
      </c>
      <c r="AX47" s="183">
        <f aca="true" t="shared" si="39" ref="AX47:BC47">SUM(AX45:AX46)</f>
        <v>13202</v>
      </c>
      <c r="AY47" s="183">
        <f t="shared" si="39"/>
        <v>11333</v>
      </c>
      <c r="AZ47" s="183">
        <f t="shared" si="39"/>
        <v>10487</v>
      </c>
      <c r="BA47" s="183">
        <f t="shared" si="39"/>
        <v>106696</v>
      </c>
      <c r="BB47" s="183">
        <f t="shared" si="39"/>
        <v>14054</v>
      </c>
      <c r="BC47" s="183">
        <f t="shared" si="39"/>
        <v>13618</v>
      </c>
      <c r="BD47" s="183">
        <f>SUM(BD45:BD46)</f>
        <v>11537</v>
      </c>
      <c r="BE47" s="183">
        <f>SUM(BE45:BE46)</f>
        <v>109038</v>
      </c>
      <c r="BF47" s="183">
        <f>SUM(BF45:BF46)</f>
        <v>14874</v>
      </c>
    </row>
    <row r="48" spans="24:46" ht="12.75">
      <c r="X48" s="146"/>
      <c r="AT48" s="80"/>
    </row>
    <row r="49" spans="1:58" ht="12.75">
      <c r="A49" s="25"/>
      <c r="B49" s="80" t="s">
        <v>267</v>
      </c>
      <c r="D49" s="44">
        <v>817</v>
      </c>
      <c r="E49" s="44">
        <v>804</v>
      </c>
      <c r="F49" s="44">
        <v>959</v>
      </c>
      <c r="G49" s="44">
        <v>1177</v>
      </c>
      <c r="H49" s="44">
        <v>1172</v>
      </c>
      <c r="I49" s="44">
        <v>1253</v>
      </c>
      <c r="J49" s="44">
        <v>2289</v>
      </c>
      <c r="K49" s="44">
        <v>2796</v>
      </c>
      <c r="L49" s="44">
        <v>1832</v>
      </c>
      <c r="M49" s="46">
        <v>3078</v>
      </c>
      <c r="N49" s="46">
        <v>2759</v>
      </c>
      <c r="O49" s="46">
        <v>2924</v>
      </c>
      <c r="P49" s="46">
        <v>2956</v>
      </c>
      <c r="Q49" s="46">
        <v>2615</v>
      </c>
      <c r="R49" s="46">
        <v>2097</v>
      </c>
      <c r="S49" s="46">
        <v>3094</v>
      </c>
      <c r="T49" s="46">
        <v>3088</v>
      </c>
      <c r="U49" s="46">
        <v>3092</v>
      </c>
      <c r="V49" s="46">
        <v>3132</v>
      </c>
      <c r="W49" s="46">
        <v>3068</v>
      </c>
      <c r="X49" s="46">
        <v>4001</v>
      </c>
      <c r="Y49" s="46">
        <v>2912</v>
      </c>
      <c r="Z49" s="46">
        <v>5673</v>
      </c>
      <c r="AA49" s="46">
        <v>2304</v>
      </c>
      <c r="AB49" s="46">
        <v>5124</v>
      </c>
      <c r="AC49" s="46">
        <v>345</v>
      </c>
      <c r="AD49" s="46">
        <v>1186</v>
      </c>
      <c r="AE49" s="46">
        <v>232</v>
      </c>
      <c r="AF49" s="46">
        <v>275</v>
      </c>
      <c r="AG49" s="46">
        <v>262</v>
      </c>
      <c r="AH49" s="46">
        <v>274</v>
      </c>
      <c r="AI49" s="46">
        <v>273</v>
      </c>
      <c r="AJ49" s="46">
        <v>250</v>
      </c>
      <c r="AK49" s="46">
        <v>1097</v>
      </c>
      <c r="AL49" s="46">
        <v>400</v>
      </c>
      <c r="AM49" s="46">
        <v>397</v>
      </c>
      <c r="AN49" s="46">
        <v>395</v>
      </c>
      <c r="AO49" s="184">
        <v>849</v>
      </c>
      <c r="AP49" s="184">
        <v>406</v>
      </c>
      <c r="AQ49" s="184">
        <v>405</v>
      </c>
      <c r="AR49" s="184">
        <v>405</v>
      </c>
      <c r="AS49" s="184">
        <v>971</v>
      </c>
      <c r="AT49" s="184">
        <v>377</v>
      </c>
      <c r="AU49" s="184">
        <v>759</v>
      </c>
      <c r="AV49" s="184">
        <v>360</v>
      </c>
      <c r="AW49" s="184">
        <v>253</v>
      </c>
      <c r="AX49" s="184">
        <v>262</v>
      </c>
      <c r="AY49" s="184">
        <v>373</v>
      </c>
      <c r="AZ49" s="184">
        <f>255+82</f>
        <v>337</v>
      </c>
      <c r="BA49" s="184">
        <f>187+306</f>
        <v>493</v>
      </c>
      <c r="BB49" s="184">
        <f>124+24</f>
        <v>148</v>
      </c>
      <c r="BC49" s="184">
        <v>120</v>
      </c>
      <c r="BD49" s="184">
        <v>127</v>
      </c>
      <c r="BE49" s="184">
        <v>128</v>
      </c>
      <c r="BF49" s="184">
        <v>128</v>
      </c>
    </row>
    <row r="50" spans="1:58" ht="12.75">
      <c r="A50" s="82"/>
      <c r="B50" s="80" t="s">
        <v>33</v>
      </c>
      <c r="C50" s="80"/>
      <c r="D50" s="44">
        <v>326</v>
      </c>
      <c r="E50" s="44">
        <v>321</v>
      </c>
      <c r="F50" s="44">
        <v>333</v>
      </c>
      <c r="G50" s="44">
        <v>1651</v>
      </c>
      <c r="H50" s="44">
        <v>1929</v>
      </c>
      <c r="I50" s="44">
        <v>2475</v>
      </c>
      <c r="J50" s="44">
        <v>3735</v>
      </c>
      <c r="K50" s="44">
        <v>3027</v>
      </c>
      <c r="L50" s="44">
        <v>3778</v>
      </c>
      <c r="M50" s="46">
        <v>2815</v>
      </c>
      <c r="N50" s="46">
        <v>2687</v>
      </c>
      <c r="O50" s="46">
        <v>2462</v>
      </c>
      <c r="P50" s="46">
        <v>2450</v>
      </c>
      <c r="Q50" s="46">
        <v>2759</v>
      </c>
      <c r="R50" s="46">
        <v>3127</v>
      </c>
      <c r="S50" s="46">
        <v>2164</v>
      </c>
      <c r="T50" s="46">
        <v>3070</v>
      </c>
      <c r="U50" s="46">
        <v>2226</v>
      </c>
      <c r="V50" s="46">
        <v>2710</v>
      </c>
      <c r="W50" s="46">
        <v>2655</v>
      </c>
      <c r="X50" s="46">
        <v>2710</v>
      </c>
      <c r="Y50" s="46">
        <v>2743</v>
      </c>
      <c r="Z50" s="46">
        <v>2586</v>
      </c>
      <c r="AA50" s="46">
        <v>2579</v>
      </c>
      <c r="AB50" s="46">
        <v>2733</v>
      </c>
      <c r="AC50" s="46">
        <v>2543</v>
      </c>
      <c r="AD50" s="46">
        <v>2350</v>
      </c>
      <c r="AE50" s="46">
        <v>2321</v>
      </c>
      <c r="AF50" s="46">
        <v>1293</v>
      </c>
      <c r="AG50" s="46">
        <v>1930</v>
      </c>
      <c r="AH50" s="46">
        <v>736</v>
      </c>
      <c r="AI50" s="46">
        <v>869</v>
      </c>
      <c r="AJ50" s="46">
        <v>1194</v>
      </c>
      <c r="AK50" s="46">
        <v>0</v>
      </c>
      <c r="AL50" s="46">
        <v>0</v>
      </c>
      <c r="AM50" s="46">
        <v>897</v>
      </c>
      <c r="AN50" s="46">
        <v>897</v>
      </c>
      <c r="AO50" s="184">
        <v>954</v>
      </c>
      <c r="AP50" s="184">
        <v>786</v>
      </c>
      <c r="AQ50" s="184">
        <v>1355</v>
      </c>
      <c r="AR50" s="184">
        <v>334</v>
      </c>
      <c r="AS50" s="184">
        <v>0</v>
      </c>
      <c r="AT50" s="184">
        <v>0</v>
      </c>
      <c r="AU50" s="184">
        <v>0</v>
      </c>
      <c r="AV50" s="184">
        <v>406</v>
      </c>
      <c r="AW50" s="184">
        <v>622</v>
      </c>
      <c r="AX50" s="184">
        <v>3369</v>
      </c>
      <c r="AY50" s="184">
        <v>3418</v>
      </c>
      <c r="AZ50" s="184">
        <v>3481</v>
      </c>
      <c r="BA50" s="184">
        <v>3517</v>
      </c>
      <c r="BB50" s="184">
        <v>3418</v>
      </c>
      <c r="BC50" s="184">
        <v>3305</v>
      </c>
      <c r="BD50" s="184">
        <v>3323</v>
      </c>
      <c r="BE50" s="184">
        <v>3526</v>
      </c>
      <c r="BF50" s="184">
        <v>3752</v>
      </c>
    </row>
    <row r="51" spans="1:58" ht="12.75">
      <c r="A51" s="25"/>
      <c r="B51" s="80" t="s">
        <v>65</v>
      </c>
      <c r="C51" s="80"/>
      <c r="D51" s="44">
        <v>81</v>
      </c>
      <c r="E51" s="44">
        <v>81</v>
      </c>
      <c r="F51" s="44">
        <v>103</v>
      </c>
      <c r="G51" s="44">
        <v>70</v>
      </c>
      <c r="H51" s="44">
        <v>115</v>
      </c>
      <c r="I51" s="44">
        <v>140</v>
      </c>
      <c r="J51" s="44">
        <v>210</v>
      </c>
      <c r="K51" s="44">
        <v>287</v>
      </c>
      <c r="L51" s="44">
        <v>232</v>
      </c>
      <c r="M51" s="46">
        <v>230</v>
      </c>
      <c r="N51" s="46">
        <v>219</v>
      </c>
      <c r="O51" s="46">
        <v>211</v>
      </c>
      <c r="P51" s="46">
        <v>196</v>
      </c>
      <c r="Q51" s="46">
        <v>243</v>
      </c>
      <c r="R51" s="46">
        <v>132</v>
      </c>
      <c r="S51" s="46">
        <v>226</v>
      </c>
      <c r="T51" s="46">
        <v>175</v>
      </c>
      <c r="U51" s="46">
        <v>187</v>
      </c>
      <c r="V51" s="46">
        <v>193</v>
      </c>
      <c r="W51" s="46">
        <v>182</v>
      </c>
      <c r="X51" s="46">
        <v>177</v>
      </c>
      <c r="Y51" s="46">
        <v>180</v>
      </c>
      <c r="Z51" s="46">
        <v>184</v>
      </c>
      <c r="AA51" s="46">
        <v>183</v>
      </c>
      <c r="AB51" s="46">
        <v>195</v>
      </c>
      <c r="AC51" s="46">
        <v>208</v>
      </c>
      <c r="AD51" s="46">
        <v>169</v>
      </c>
      <c r="AE51" s="46">
        <v>132</v>
      </c>
      <c r="AF51" s="46">
        <v>133</v>
      </c>
      <c r="AG51" s="46">
        <v>138</v>
      </c>
      <c r="AH51" s="46">
        <v>140</v>
      </c>
      <c r="AI51" s="46">
        <v>134</v>
      </c>
      <c r="AJ51" s="46">
        <v>143</v>
      </c>
      <c r="AK51" s="46">
        <v>142</v>
      </c>
      <c r="AL51" s="46">
        <v>144</v>
      </c>
      <c r="AM51" s="46">
        <v>135</v>
      </c>
      <c r="AN51" s="46">
        <v>138</v>
      </c>
      <c r="AO51" s="184">
        <v>153</v>
      </c>
      <c r="AP51" s="184">
        <v>145</v>
      </c>
      <c r="AQ51" s="184">
        <v>153</v>
      </c>
      <c r="AR51" s="184">
        <v>153</v>
      </c>
      <c r="AS51" s="184">
        <v>154</v>
      </c>
      <c r="AT51" s="184">
        <v>156</v>
      </c>
      <c r="AU51" s="184">
        <v>159</v>
      </c>
      <c r="AV51" s="184">
        <v>154</v>
      </c>
      <c r="AW51" s="184">
        <v>158</v>
      </c>
      <c r="AX51" s="184">
        <v>167</v>
      </c>
      <c r="AY51" s="184">
        <v>168</v>
      </c>
      <c r="AZ51" s="184">
        <v>169</v>
      </c>
      <c r="BA51" s="184">
        <v>177</v>
      </c>
      <c r="BB51" s="184">
        <v>153</v>
      </c>
      <c r="BC51" s="184">
        <v>158</v>
      </c>
      <c r="BD51" s="184">
        <v>161</v>
      </c>
      <c r="BE51" s="184">
        <v>163</v>
      </c>
      <c r="BF51" s="184">
        <v>179</v>
      </c>
    </row>
    <row r="52" spans="1:58" ht="12.75">
      <c r="A52" s="25"/>
      <c r="B52" s="26" t="s">
        <v>34</v>
      </c>
      <c r="C52" s="80"/>
      <c r="D52" s="44">
        <v>9290</v>
      </c>
      <c r="E52" s="44">
        <v>2940</v>
      </c>
      <c r="F52" s="44">
        <v>-125399</v>
      </c>
      <c r="G52" s="44">
        <v>0</v>
      </c>
      <c r="H52" s="44">
        <v>-155415</v>
      </c>
      <c r="I52" s="44">
        <v>4132</v>
      </c>
      <c r="J52" s="44">
        <v>-120649</v>
      </c>
      <c r="K52" s="44">
        <v>0</v>
      </c>
      <c r="L52" s="44">
        <v>29704</v>
      </c>
      <c r="M52" s="44">
        <v>83543</v>
      </c>
      <c r="N52" s="44">
        <v>51386</v>
      </c>
      <c r="O52" s="44">
        <v>143685</v>
      </c>
      <c r="P52" s="44">
        <v>1208</v>
      </c>
      <c r="Q52" s="44">
        <v>29940</v>
      </c>
      <c r="R52" s="44">
        <v>4354</v>
      </c>
      <c r="S52" s="44">
        <v>953</v>
      </c>
      <c r="T52" s="44">
        <v>530</v>
      </c>
      <c r="U52" s="44">
        <v>-30094</v>
      </c>
      <c r="V52" s="44">
        <v>-51</v>
      </c>
      <c r="W52" s="46">
        <v>774</v>
      </c>
      <c r="X52" s="46">
        <v>1157</v>
      </c>
      <c r="Y52" s="46">
        <v>-19039</v>
      </c>
      <c r="Z52" s="46">
        <v>553</v>
      </c>
      <c r="AA52" s="46">
        <v>377</v>
      </c>
      <c r="AB52" s="46">
        <v>-4497</v>
      </c>
      <c r="AC52" s="46">
        <v>-64420</v>
      </c>
      <c r="AD52" s="46">
        <v>2039</v>
      </c>
      <c r="AE52" s="46">
        <v>2076</v>
      </c>
      <c r="AF52" s="46">
        <v>1119</v>
      </c>
      <c r="AG52" s="46">
        <f aca="true" t="shared" si="40" ref="AG52:AM52">-AG39</f>
        <v>-100466</v>
      </c>
      <c r="AH52" s="46">
        <f t="shared" si="40"/>
        <v>439</v>
      </c>
      <c r="AI52" s="46">
        <f t="shared" si="40"/>
        <v>763</v>
      </c>
      <c r="AJ52" s="46">
        <f t="shared" si="40"/>
        <v>812</v>
      </c>
      <c r="AK52" s="46">
        <f t="shared" si="40"/>
        <v>-29434</v>
      </c>
      <c r="AL52" s="46">
        <f t="shared" si="40"/>
        <v>87</v>
      </c>
      <c r="AM52" s="46">
        <f t="shared" si="40"/>
        <v>525</v>
      </c>
      <c r="AN52" s="46">
        <f aca="true" t="shared" si="41" ref="AN52:AS52">-AN39</f>
        <v>397</v>
      </c>
      <c r="AO52" s="184">
        <f t="shared" si="41"/>
        <v>-6396</v>
      </c>
      <c r="AP52" s="184">
        <f t="shared" si="41"/>
        <v>141</v>
      </c>
      <c r="AQ52" s="184">
        <f t="shared" si="41"/>
        <v>1133</v>
      </c>
      <c r="AR52" s="184">
        <f t="shared" si="41"/>
        <v>588</v>
      </c>
      <c r="AS52" s="184">
        <f t="shared" si="41"/>
        <v>-1172</v>
      </c>
      <c r="AT52" s="184">
        <v>-281</v>
      </c>
      <c r="AU52" s="184">
        <v>-69</v>
      </c>
      <c r="AV52" s="184">
        <v>-178</v>
      </c>
      <c r="AW52" s="184">
        <v>-59538</v>
      </c>
      <c r="AX52" s="184">
        <v>-48</v>
      </c>
      <c r="AY52" s="184">
        <f aca="true" t="shared" si="42" ref="AY52:BD52">-AY39</f>
        <v>396</v>
      </c>
      <c r="AZ52" s="184">
        <f t="shared" si="42"/>
        <v>362</v>
      </c>
      <c r="BA52" s="184">
        <f t="shared" si="42"/>
        <v>-21610</v>
      </c>
      <c r="BB52" s="184">
        <f t="shared" si="42"/>
        <v>-598</v>
      </c>
      <c r="BC52" s="184">
        <f t="shared" si="42"/>
        <v>-109</v>
      </c>
      <c r="BD52" s="184">
        <f t="shared" si="42"/>
        <v>-132</v>
      </c>
      <c r="BE52" s="184">
        <f>-BE39</f>
        <v>-107565</v>
      </c>
      <c r="BF52" s="184">
        <v>5891</v>
      </c>
    </row>
    <row r="53" spans="1:58" ht="12.75">
      <c r="A53" s="25"/>
      <c r="B53" s="26" t="s">
        <v>35</v>
      </c>
      <c r="C53" s="80"/>
      <c r="D53" s="44">
        <v>-3999</v>
      </c>
      <c r="E53" s="44">
        <v>2443</v>
      </c>
      <c r="F53" s="44">
        <v>-4236</v>
      </c>
      <c r="G53" s="44">
        <v>2503</v>
      </c>
      <c r="H53" s="44">
        <v>-17831</v>
      </c>
      <c r="I53" s="44">
        <v>2129</v>
      </c>
      <c r="J53" s="44">
        <v>2193</v>
      </c>
      <c r="K53" s="44">
        <v>15366</v>
      </c>
      <c r="L53" s="44">
        <v>2891</v>
      </c>
      <c r="M53" s="44">
        <v>2369</v>
      </c>
      <c r="N53" s="44">
        <v>26708</v>
      </c>
      <c r="O53" s="44">
        <v>-1492</v>
      </c>
      <c r="P53" s="44">
        <v>1379</v>
      </c>
      <c r="Q53" s="44">
        <v>917</v>
      </c>
      <c r="R53" s="44">
        <v>-710</v>
      </c>
      <c r="S53" s="44">
        <v>-323</v>
      </c>
      <c r="T53" s="44">
        <v>2790</v>
      </c>
      <c r="U53" s="44">
        <v>113</v>
      </c>
      <c r="V53" s="44">
        <v>-3844</v>
      </c>
      <c r="W53" s="46">
        <v>709</v>
      </c>
      <c r="X53" s="46">
        <v>614</v>
      </c>
      <c r="Y53" s="46">
        <v>567</v>
      </c>
      <c r="Z53" s="46">
        <v>-1467</v>
      </c>
      <c r="AA53" s="46">
        <v>-1241</v>
      </c>
      <c r="AB53" s="46">
        <v>2403</v>
      </c>
      <c r="AC53" s="46">
        <v>-38</v>
      </c>
      <c r="AD53" s="46">
        <v>-169</v>
      </c>
      <c r="AE53" s="46">
        <v>-159</v>
      </c>
      <c r="AF53" s="46">
        <v>-2992</v>
      </c>
      <c r="AG53" s="46">
        <f aca="true" t="shared" si="43" ref="AG53:AM53">-AG37</f>
        <v>1274</v>
      </c>
      <c r="AH53" s="46">
        <f t="shared" si="43"/>
        <v>-893</v>
      </c>
      <c r="AI53" s="46">
        <f t="shared" si="43"/>
        <v>-361</v>
      </c>
      <c r="AJ53" s="46">
        <f t="shared" si="43"/>
        <v>199</v>
      </c>
      <c r="AK53" s="46">
        <f t="shared" si="43"/>
        <v>-1219</v>
      </c>
      <c r="AL53" s="46">
        <f t="shared" si="43"/>
        <v>-319</v>
      </c>
      <c r="AM53" s="46">
        <f t="shared" si="43"/>
        <v>-422</v>
      </c>
      <c r="AN53" s="46">
        <f aca="true" t="shared" si="44" ref="AN53:AS53">-AN37</f>
        <v>39</v>
      </c>
      <c r="AO53" s="184">
        <f t="shared" si="44"/>
        <v>-327</v>
      </c>
      <c r="AP53" s="184">
        <f t="shared" si="44"/>
        <v>769</v>
      </c>
      <c r="AQ53" s="184">
        <f t="shared" si="44"/>
        <v>-110</v>
      </c>
      <c r="AR53" s="184">
        <f t="shared" si="44"/>
        <v>-641</v>
      </c>
      <c r="AS53" s="184">
        <f t="shared" si="44"/>
        <v>767</v>
      </c>
      <c r="AT53" s="184">
        <v>-87</v>
      </c>
      <c r="AU53" s="184">
        <v>270</v>
      </c>
      <c r="AV53" s="184">
        <v>-322</v>
      </c>
      <c r="AW53" s="184">
        <v>-58</v>
      </c>
      <c r="AX53" s="184">
        <v>-327</v>
      </c>
      <c r="AY53" s="184">
        <f aca="true" t="shared" si="45" ref="AY53:BD53">-AY37</f>
        <v>344</v>
      </c>
      <c r="AZ53" s="184">
        <f t="shared" si="45"/>
        <v>13</v>
      </c>
      <c r="BA53" s="184">
        <f t="shared" si="45"/>
        <v>32</v>
      </c>
      <c r="BB53" s="184">
        <f t="shared" si="45"/>
        <v>-186</v>
      </c>
      <c r="BC53" s="184">
        <f t="shared" si="45"/>
        <v>108</v>
      </c>
      <c r="BD53" s="184">
        <f t="shared" si="45"/>
        <v>-35</v>
      </c>
      <c r="BE53" s="184">
        <f>-BE37</f>
        <v>0</v>
      </c>
      <c r="BF53" s="184">
        <v>0</v>
      </c>
    </row>
    <row r="54" spans="1:58" ht="12.75">
      <c r="A54" s="25"/>
      <c r="B54" s="26" t="s">
        <v>146</v>
      </c>
      <c r="C54" s="80"/>
      <c r="D54" s="44"/>
      <c r="E54" s="44"/>
      <c r="F54" s="44"/>
      <c r="G54" s="44"/>
      <c r="H54" s="44"/>
      <c r="I54" s="44"/>
      <c r="J54" s="44"/>
      <c r="K54" s="44">
        <v>0</v>
      </c>
      <c r="L54" s="44">
        <v>0</v>
      </c>
      <c r="M54" s="44">
        <v>0</v>
      </c>
      <c r="N54" s="44">
        <v>0</v>
      </c>
      <c r="O54" s="44">
        <v>0</v>
      </c>
      <c r="P54" s="44">
        <v>0</v>
      </c>
      <c r="Q54" s="44">
        <v>0</v>
      </c>
      <c r="R54" s="44">
        <v>0</v>
      </c>
      <c r="S54" s="44">
        <v>0</v>
      </c>
      <c r="T54" s="44">
        <v>0</v>
      </c>
      <c r="U54" s="44">
        <v>0</v>
      </c>
      <c r="V54" s="44">
        <v>0</v>
      </c>
      <c r="W54" s="46">
        <v>0</v>
      </c>
      <c r="X54" s="46">
        <v>0</v>
      </c>
      <c r="Y54" s="46">
        <v>0</v>
      </c>
      <c r="Z54" s="46">
        <v>0</v>
      </c>
      <c r="AA54" s="46">
        <v>0</v>
      </c>
      <c r="AB54" s="46">
        <v>0</v>
      </c>
      <c r="AC54" s="46">
        <v>-72800</v>
      </c>
      <c r="AD54" s="46">
        <v>0</v>
      </c>
      <c r="AE54" s="46">
        <v>0</v>
      </c>
      <c r="AF54" s="46">
        <v>0</v>
      </c>
      <c r="AG54" s="46">
        <v>0</v>
      </c>
      <c r="AH54" s="46">
        <v>0</v>
      </c>
      <c r="AI54" s="46">
        <v>0</v>
      </c>
      <c r="AJ54" s="46">
        <v>0</v>
      </c>
      <c r="AK54" s="46">
        <v>0</v>
      </c>
      <c r="AL54" s="46">
        <v>0</v>
      </c>
      <c r="AM54" s="46">
        <v>0</v>
      </c>
      <c r="AN54" s="46">
        <v>0</v>
      </c>
      <c r="AO54" s="184">
        <v>0</v>
      </c>
      <c r="AP54" s="184">
        <v>0</v>
      </c>
      <c r="AQ54" s="184">
        <v>0</v>
      </c>
      <c r="AR54" s="184">
        <v>0</v>
      </c>
      <c r="AS54" s="184">
        <v>0</v>
      </c>
      <c r="AT54" s="184">
        <v>0</v>
      </c>
      <c r="AU54" s="184">
        <v>0</v>
      </c>
      <c r="AV54" s="184">
        <v>0</v>
      </c>
      <c r="AW54" s="184">
        <v>0</v>
      </c>
      <c r="AX54" s="184">
        <v>0</v>
      </c>
      <c r="AY54" s="184">
        <v>0</v>
      </c>
      <c r="AZ54" s="184">
        <v>0</v>
      </c>
      <c r="BA54" s="184">
        <f>-BA41</f>
        <v>-75724</v>
      </c>
      <c r="BB54" s="184">
        <f>-BB41</f>
        <v>0</v>
      </c>
      <c r="BC54" s="184">
        <f>-BC41</f>
        <v>0</v>
      </c>
      <c r="BD54" s="184">
        <f>-BD41</f>
        <v>0</v>
      </c>
      <c r="BE54" s="184">
        <f>-BE41</f>
        <v>0</v>
      </c>
      <c r="BF54" s="184">
        <v>0</v>
      </c>
    </row>
    <row r="55" spans="1:58" ht="12.75">
      <c r="A55" s="25"/>
      <c r="B55" s="26" t="s">
        <v>131</v>
      </c>
      <c r="C55" s="80"/>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6">
        <v>-16423</v>
      </c>
      <c r="X55" s="46">
        <v>3620</v>
      </c>
      <c r="Y55" s="46">
        <v>0</v>
      </c>
      <c r="Z55" s="46">
        <v>0</v>
      </c>
      <c r="AA55" s="46">
        <v>0</v>
      </c>
      <c r="AB55" s="46">
        <v>0</v>
      </c>
      <c r="AC55" s="46">
        <v>0</v>
      </c>
      <c r="AD55" s="46">
        <v>-18155</v>
      </c>
      <c r="AE55" s="46">
        <v>0</v>
      </c>
      <c r="AF55" s="46">
        <v>0</v>
      </c>
      <c r="AG55" s="46">
        <v>0</v>
      </c>
      <c r="AH55" s="46">
        <v>0</v>
      </c>
      <c r="AI55" s="46">
        <v>0</v>
      </c>
      <c r="AJ55" s="46">
        <v>0</v>
      </c>
      <c r="AK55" s="46">
        <v>0</v>
      </c>
      <c r="AL55" s="46">
        <v>0</v>
      </c>
      <c r="AM55" s="46">
        <v>0</v>
      </c>
      <c r="AN55" s="46">
        <v>0</v>
      </c>
      <c r="AO55" s="184">
        <v>0</v>
      </c>
      <c r="AP55" s="184">
        <v>0</v>
      </c>
      <c r="AQ55" s="184">
        <v>0</v>
      </c>
      <c r="AR55" s="184">
        <v>0</v>
      </c>
      <c r="AS55" s="184">
        <v>0</v>
      </c>
      <c r="AT55" s="184">
        <v>0</v>
      </c>
      <c r="AU55" s="184">
        <v>0</v>
      </c>
      <c r="AV55" s="184">
        <v>0</v>
      </c>
      <c r="AW55" s="184">
        <v>0</v>
      </c>
      <c r="AX55" s="184">
        <v>0</v>
      </c>
      <c r="AY55" s="184">
        <v>0</v>
      </c>
      <c r="AZ55" s="184">
        <v>0</v>
      </c>
      <c r="BA55" s="184">
        <v>0</v>
      </c>
      <c r="BB55" s="184">
        <v>0</v>
      </c>
      <c r="BC55" s="184">
        <v>0</v>
      </c>
      <c r="BD55" s="184">
        <v>0</v>
      </c>
      <c r="BE55" s="184">
        <v>0</v>
      </c>
      <c r="BF55" s="184">
        <v>0</v>
      </c>
    </row>
    <row r="56" spans="1:58" ht="12.75">
      <c r="A56" s="25"/>
      <c r="B56" s="80" t="s">
        <v>13</v>
      </c>
      <c r="C56" s="44"/>
      <c r="D56" s="44">
        <v>1137</v>
      </c>
      <c r="E56" s="44">
        <v>445</v>
      </c>
      <c r="F56" s="44">
        <v>30180</v>
      </c>
      <c r="G56" s="44">
        <v>-952</v>
      </c>
      <c r="H56" s="44">
        <v>20774</v>
      </c>
      <c r="I56" s="44">
        <v>-6117</v>
      </c>
      <c r="J56" s="44">
        <v>11497</v>
      </c>
      <c r="K56" s="44">
        <v>4299</v>
      </c>
      <c r="L56" s="44">
        <v>-10816</v>
      </c>
      <c r="M56" s="44">
        <v>-8610</v>
      </c>
      <c r="N56" s="44">
        <v>27066</v>
      </c>
      <c r="O56" s="44">
        <v>-3847</v>
      </c>
      <c r="P56" s="44">
        <v>-3720</v>
      </c>
      <c r="Q56" s="44">
        <v>4416</v>
      </c>
      <c r="R56" s="44">
        <v>-430</v>
      </c>
      <c r="S56" s="44">
        <v>1070</v>
      </c>
      <c r="T56" s="44">
        <v>-794</v>
      </c>
      <c r="U56" s="44">
        <v>3029</v>
      </c>
      <c r="V56" s="44">
        <v>-363</v>
      </c>
      <c r="W56" s="44">
        <v>-658</v>
      </c>
      <c r="X56" s="44">
        <v>-2293</v>
      </c>
      <c r="Y56" s="46">
        <v>819</v>
      </c>
      <c r="Z56" s="46">
        <v>-1388</v>
      </c>
      <c r="AA56" s="46">
        <v>-1362</v>
      </c>
      <c r="AB56" s="46">
        <v>70</v>
      </c>
      <c r="AC56" s="46">
        <v>12080</v>
      </c>
      <c r="AD56" s="46">
        <v>-1180</v>
      </c>
      <c r="AE56" s="46">
        <v>-1573</v>
      </c>
      <c r="AF56" s="46">
        <v>-246</v>
      </c>
      <c r="AG56" s="46">
        <v>5045</v>
      </c>
      <c r="AH56" s="46">
        <v>713</v>
      </c>
      <c r="AI56" s="46">
        <f>338-289-660+105</f>
        <v>-506</v>
      </c>
      <c r="AJ56" s="46">
        <f>354-548-884+162</f>
        <v>-916</v>
      </c>
      <c r="AK56" s="46">
        <f>-4413+816-581+60-675</f>
        <v>-4793</v>
      </c>
      <c r="AL56" s="46">
        <f>339+1185-119+73-451</f>
        <v>1027</v>
      </c>
      <c r="AM56" s="46">
        <f>304+188-415+81</f>
        <v>158</v>
      </c>
      <c r="AN56" s="46">
        <f>313+342-191-254</f>
        <v>210</v>
      </c>
      <c r="AO56" s="184">
        <f>-9262+825-277+983</f>
        <v>-7731</v>
      </c>
      <c r="AP56" s="184">
        <f>322-249-275-43</f>
        <v>-245</v>
      </c>
      <c r="AQ56" s="184">
        <f>321-1304-920+274</f>
        <v>-1629</v>
      </c>
      <c r="AR56" s="184">
        <f>320+1426-450+625</f>
        <v>1921</v>
      </c>
      <c r="AS56" s="184">
        <f>297-SUM(AS49:AS55)</f>
        <v>-423</v>
      </c>
      <c r="AT56" s="194">
        <f>1203-SUM(AT49:AT55)</f>
        <v>1038</v>
      </c>
      <c r="AU56" s="184">
        <v>-321</v>
      </c>
      <c r="AV56" s="184">
        <f>-53+1090+205+1219</f>
        <v>2461</v>
      </c>
      <c r="AW56" s="184">
        <f>20551-690+135+841</f>
        <v>20837</v>
      </c>
      <c r="AX56" s="184">
        <f>19456-16625</f>
        <v>2831</v>
      </c>
      <c r="AY56" s="184">
        <f>1796+142+2917-574+288</f>
        <v>4569</v>
      </c>
      <c r="AZ56" s="184">
        <f>1387-853-592+5518+939</f>
        <v>6399</v>
      </c>
      <c r="BA56" s="184">
        <f>3692+665-356+2404+1435</f>
        <v>7840</v>
      </c>
      <c r="BB56" s="184">
        <f>-1065+1668-247+3785+420</f>
        <v>4561</v>
      </c>
      <c r="BC56" s="184">
        <f>338-560-699+4923+467</f>
        <v>4469</v>
      </c>
      <c r="BD56" s="184">
        <f>-2791+3721-477+6275+70</f>
        <v>6798</v>
      </c>
      <c r="BE56" s="184">
        <f>13896-2-2458+6654-1475</f>
        <v>16615</v>
      </c>
      <c r="BF56" s="184">
        <f>-2299-106-6695+5758+516</f>
        <v>-2826</v>
      </c>
    </row>
    <row r="57" spans="1:58" ht="12.75">
      <c r="A57" s="25"/>
      <c r="B57" s="28"/>
      <c r="C57" s="34"/>
      <c r="D57" s="47">
        <v>7652</v>
      </c>
      <c r="E57" s="47">
        <v>7034</v>
      </c>
      <c r="F57" s="47">
        <v>-98060</v>
      </c>
      <c r="G57" s="47">
        <v>4449</v>
      </c>
      <c r="H57" s="47">
        <v>-149256</v>
      </c>
      <c r="I57" s="47">
        <v>4012</v>
      </c>
      <c r="J57" s="47">
        <v>-100725</v>
      </c>
      <c r="K57" s="47">
        <v>25775</v>
      </c>
      <c r="L57" s="47">
        <v>27621</v>
      </c>
      <c r="M57" s="47">
        <v>83425</v>
      </c>
      <c r="N57" s="47">
        <v>110825</v>
      </c>
      <c r="O57" s="47">
        <v>143943</v>
      </c>
      <c r="P57" s="47">
        <v>4469</v>
      </c>
      <c r="Q57" s="47">
        <v>40890</v>
      </c>
      <c r="R57" s="47">
        <v>8570</v>
      </c>
      <c r="S57" s="47">
        <v>7184</v>
      </c>
      <c r="T57" s="47">
        <v>8859</v>
      </c>
      <c r="U57" s="47">
        <v>-21447</v>
      </c>
      <c r="V57" s="47">
        <v>1777</v>
      </c>
      <c r="W57" s="47">
        <v>-9693</v>
      </c>
      <c r="X57" s="47">
        <f aca="true" t="shared" si="46" ref="X57:AC57">SUM(X49:X56)</f>
        <v>9986</v>
      </c>
      <c r="Y57" s="47">
        <f t="shared" si="46"/>
        <v>-11818</v>
      </c>
      <c r="Z57" s="47">
        <f t="shared" si="46"/>
        <v>6141</v>
      </c>
      <c r="AA57" s="47">
        <f t="shared" si="46"/>
        <v>2840</v>
      </c>
      <c r="AB57" s="47">
        <f t="shared" si="46"/>
        <v>6028</v>
      </c>
      <c r="AC57" s="47">
        <f t="shared" si="46"/>
        <v>-122082</v>
      </c>
      <c r="AD57" s="47">
        <f aca="true" t="shared" si="47" ref="AD57:AI57">SUM(AD49:AD56)</f>
        <v>-13760</v>
      </c>
      <c r="AE57" s="47">
        <f t="shared" si="47"/>
        <v>3029</v>
      </c>
      <c r="AF57" s="47">
        <f t="shared" si="47"/>
        <v>-418</v>
      </c>
      <c r="AG57" s="47">
        <f t="shared" si="47"/>
        <v>-91817</v>
      </c>
      <c r="AH57" s="47">
        <f t="shared" si="47"/>
        <v>1409</v>
      </c>
      <c r="AI57" s="47">
        <f t="shared" si="47"/>
        <v>1172</v>
      </c>
      <c r="AJ57" s="47">
        <f aca="true" t="shared" si="48" ref="AJ57:AP57">SUM(AJ49:AJ56)</f>
        <v>1682</v>
      </c>
      <c r="AK57" s="47">
        <f t="shared" si="48"/>
        <v>-34207</v>
      </c>
      <c r="AL57" s="47">
        <f t="shared" si="48"/>
        <v>1339</v>
      </c>
      <c r="AM57" s="47">
        <f t="shared" si="48"/>
        <v>1690</v>
      </c>
      <c r="AN57" s="47">
        <f t="shared" si="48"/>
        <v>2076</v>
      </c>
      <c r="AO57" s="182">
        <f t="shared" si="48"/>
        <v>-12498</v>
      </c>
      <c r="AP57" s="182">
        <f t="shared" si="48"/>
        <v>2002</v>
      </c>
      <c r="AQ57" s="182">
        <f aca="true" t="shared" si="49" ref="AQ57:AV57">SUM(AQ49:AQ56)</f>
        <v>1307</v>
      </c>
      <c r="AR57" s="182">
        <f t="shared" si="49"/>
        <v>2760</v>
      </c>
      <c r="AS57" s="182">
        <f t="shared" si="49"/>
        <v>297</v>
      </c>
      <c r="AT57" s="182">
        <f t="shared" si="49"/>
        <v>1203</v>
      </c>
      <c r="AU57" s="182">
        <f t="shared" si="49"/>
        <v>798</v>
      </c>
      <c r="AV57" s="182">
        <f t="shared" si="49"/>
        <v>2881</v>
      </c>
      <c r="AW57" s="182">
        <f aca="true" t="shared" si="50" ref="AW57:BB57">SUM(AW49:AW56)</f>
        <v>-37726</v>
      </c>
      <c r="AX57" s="182">
        <f t="shared" si="50"/>
        <v>6254</v>
      </c>
      <c r="AY57" s="182">
        <f t="shared" si="50"/>
        <v>9268</v>
      </c>
      <c r="AZ57" s="182">
        <f t="shared" si="50"/>
        <v>10761</v>
      </c>
      <c r="BA57" s="182">
        <f t="shared" si="50"/>
        <v>-85275</v>
      </c>
      <c r="BB57" s="182">
        <f t="shared" si="50"/>
        <v>7496</v>
      </c>
      <c r="BC57" s="182">
        <f>SUM(BC49:BC56)</f>
        <v>8051</v>
      </c>
      <c r="BD57" s="182">
        <f>SUM(BD49:BD56)</f>
        <v>10242</v>
      </c>
      <c r="BE57" s="182">
        <f>SUM(BE49:BE56)</f>
        <v>-87133</v>
      </c>
      <c r="BF57" s="182">
        <f>SUM(BF49:BF56)</f>
        <v>7124</v>
      </c>
    </row>
    <row r="58" spans="1:58" ht="12.75">
      <c r="A58" s="25"/>
      <c r="B58" s="27"/>
      <c r="D58" s="44"/>
      <c r="F58" s="44"/>
      <c r="G58" s="44"/>
      <c r="H58" s="44"/>
      <c r="I58" s="44"/>
      <c r="J58" s="44"/>
      <c r="K58" s="44"/>
      <c r="L58" s="44"/>
      <c r="M58" s="48"/>
      <c r="N58" s="48"/>
      <c r="O58" s="48"/>
      <c r="P58" s="53"/>
      <c r="Q58" s="53"/>
      <c r="R58" s="53"/>
      <c r="S58" s="53"/>
      <c r="T58" s="53"/>
      <c r="U58" s="53"/>
      <c r="V58" s="53"/>
      <c r="X58" s="146"/>
      <c r="BA58" s="211"/>
      <c r="BB58" s="211"/>
      <c r="BC58" s="211"/>
      <c r="BD58" s="211"/>
      <c r="BE58" s="256"/>
      <c r="BF58" s="277"/>
    </row>
    <row r="59" spans="1:58" s="81" customFormat="1" ht="12.75">
      <c r="A59" s="34" t="s">
        <v>16</v>
      </c>
      <c r="B59" s="34"/>
      <c r="C59" s="34"/>
      <c r="D59" s="51">
        <v>7570</v>
      </c>
      <c r="E59" s="51">
        <v>7565</v>
      </c>
      <c r="F59" s="51">
        <v>7552</v>
      </c>
      <c r="G59" s="51">
        <v>7950</v>
      </c>
      <c r="H59" s="51">
        <v>12900</v>
      </c>
      <c r="I59" s="83">
        <v>11109</v>
      </c>
      <c r="J59" s="83">
        <v>15567</v>
      </c>
      <c r="K59" s="83">
        <v>11323</v>
      </c>
      <c r="L59" s="51">
        <v>17173</v>
      </c>
      <c r="M59" s="51">
        <v>8075</v>
      </c>
      <c r="N59" s="51">
        <v>9269</v>
      </c>
      <c r="O59" s="51">
        <v>5417</v>
      </c>
      <c r="P59" s="51">
        <v>5570</v>
      </c>
      <c r="Q59" s="51">
        <v>8005</v>
      </c>
      <c r="R59" s="51">
        <v>12145</v>
      </c>
      <c r="S59" s="51">
        <v>14484</v>
      </c>
      <c r="T59" s="51">
        <v>12422</v>
      </c>
      <c r="U59" s="51">
        <v>14252</v>
      </c>
      <c r="V59" s="51">
        <v>12644</v>
      </c>
      <c r="W59" s="51">
        <v>14722</v>
      </c>
      <c r="X59" s="51">
        <f aca="true" t="shared" si="51" ref="X59:AC59">X47+X57</f>
        <v>13403</v>
      </c>
      <c r="Y59" s="51">
        <f t="shared" si="51"/>
        <v>14393</v>
      </c>
      <c r="Z59" s="51">
        <f t="shared" si="51"/>
        <v>14341</v>
      </c>
      <c r="AA59" s="51">
        <f t="shared" si="51"/>
        <v>15858</v>
      </c>
      <c r="AB59" s="51">
        <f t="shared" si="51"/>
        <v>15637</v>
      </c>
      <c r="AC59" s="51">
        <f t="shared" si="51"/>
        <v>16053</v>
      </c>
      <c r="AD59" s="51">
        <f aca="true" t="shared" si="52" ref="AD59:AI59">AD47+AD57</f>
        <v>15003</v>
      </c>
      <c r="AE59" s="51">
        <f t="shared" si="52"/>
        <v>15380</v>
      </c>
      <c r="AF59" s="51">
        <f t="shared" si="52"/>
        <v>14564</v>
      </c>
      <c r="AG59" s="51">
        <f t="shared" si="52"/>
        <v>13855</v>
      </c>
      <c r="AH59" s="51">
        <f t="shared" si="52"/>
        <v>13718</v>
      </c>
      <c r="AI59" s="51">
        <f t="shared" si="52"/>
        <v>13792</v>
      </c>
      <c r="AJ59" s="51">
        <f aca="true" t="shared" si="53" ref="AJ59:AO59">AJ47+AJ57</f>
        <v>14784</v>
      </c>
      <c r="AK59" s="51">
        <f t="shared" si="53"/>
        <v>14987</v>
      </c>
      <c r="AL59" s="51">
        <f t="shared" si="53"/>
        <v>16712</v>
      </c>
      <c r="AM59" s="51">
        <f t="shared" si="53"/>
        <v>16189</v>
      </c>
      <c r="AN59" s="51">
        <f t="shared" si="53"/>
        <v>16082</v>
      </c>
      <c r="AO59" s="183">
        <f t="shared" si="53"/>
        <v>18822</v>
      </c>
      <c r="AP59" s="183">
        <f aca="true" t="shared" si="54" ref="AP59:AU59">AP47+AP57</f>
        <v>19702</v>
      </c>
      <c r="AQ59" s="183">
        <f t="shared" si="54"/>
        <v>19348</v>
      </c>
      <c r="AR59" s="183">
        <f t="shared" si="54"/>
        <v>19072</v>
      </c>
      <c r="AS59" s="183">
        <f t="shared" si="54"/>
        <v>19485</v>
      </c>
      <c r="AT59" s="183">
        <f t="shared" si="54"/>
        <v>19939</v>
      </c>
      <c r="AU59" s="183">
        <f t="shared" si="54"/>
        <v>20022</v>
      </c>
      <c r="AV59" s="183">
        <f aca="true" t="shared" si="55" ref="AV59:BA59">AV47+AV57</f>
        <v>19242</v>
      </c>
      <c r="AW59" s="183">
        <f t="shared" si="55"/>
        <v>19397</v>
      </c>
      <c r="AX59" s="183">
        <f t="shared" si="55"/>
        <v>19456</v>
      </c>
      <c r="AY59" s="183">
        <f t="shared" si="55"/>
        <v>20601</v>
      </c>
      <c r="AZ59" s="183">
        <f t="shared" si="55"/>
        <v>21248</v>
      </c>
      <c r="BA59" s="183">
        <f t="shared" si="55"/>
        <v>21421</v>
      </c>
      <c r="BB59" s="183">
        <f>BB47+BB57</f>
        <v>21550</v>
      </c>
      <c r="BC59" s="183">
        <f>BC47+BC57</f>
        <v>21669</v>
      </c>
      <c r="BD59" s="183">
        <f>BD47+BD57</f>
        <v>21779</v>
      </c>
      <c r="BE59" s="183">
        <f>BE47+BE57</f>
        <v>21905</v>
      </c>
      <c r="BF59" s="183">
        <f>BF47+BF57</f>
        <v>21998</v>
      </c>
    </row>
    <row r="60" spans="1:22" ht="13.5">
      <c r="A60" s="35"/>
      <c r="B60" s="35"/>
      <c r="C60" s="35"/>
      <c r="D60" s="46"/>
      <c r="E60" s="46"/>
      <c r="F60" s="46"/>
      <c r="G60" s="46"/>
      <c r="H60" s="46"/>
      <c r="I60" s="46"/>
      <c r="J60" s="46"/>
      <c r="K60" s="49"/>
      <c r="L60" s="49"/>
      <c r="M60" s="49"/>
      <c r="N60" s="49"/>
      <c r="O60" s="49"/>
      <c r="P60" s="49"/>
      <c r="Q60" s="49"/>
      <c r="R60" s="49"/>
      <c r="S60" s="49"/>
      <c r="T60" s="49"/>
      <c r="U60" s="49"/>
      <c r="V60" s="49"/>
    </row>
    <row r="61" spans="1:58" ht="15">
      <c r="A61" s="108" t="s">
        <v>132</v>
      </c>
      <c r="B61" s="35"/>
      <c r="C61" s="35"/>
      <c r="D61" s="46"/>
      <c r="E61" s="46"/>
      <c r="F61" s="46"/>
      <c r="G61" s="46"/>
      <c r="H61" s="46"/>
      <c r="I61" s="46"/>
      <c r="J61" s="46"/>
      <c r="K61" s="136"/>
      <c r="L61" s="136"/>
      <c r="M61" s="136"/>
      <c r="N61" s="136">
        <v>1.55</v>
      </c>
      <c r="O61" s="136">
        <v>0.8999999999999999</v>
      </c>
      <c r="P61" s="136">
        <v>0.8999999999999999</v>
      </c>
      <c r="Q61" s="136">
        <v>1</v>
      </c>
      <c r="R61" s="136">
        <v>1.2</v>
      </c>
      <c r="S61" s="136">
        <v>1.6</v>
      </c>
      <c r="T61" s="136">
        <v>1.25</v>
      </c>
      <c r="U61" s="136">
        <v>1.55</v>
      </c>
      <c r="V61" s="136">
        <v>1.25</v>
      </c>
      <c r="W61" s="136">
        <v>1.61</v>
      </c>
      <c r="X61" s="136">
        <v>1.38</v>
      </c>
      <c r="Y61" s="136">
        <v>1.52</v>
      </c>
      <c r="Z61" s="136">
        <v>1.51</v>
      </c>
      <c r="AA61" s="136">
        <v>1.74</v>
      </c>
      <c r="AB61" s="136">
        <v>1.7</v>
      </c>
      <c r="AC61" s="136">
        <v>1.75</v>
      </c>
      <c r="AD61" s="136">
        <v>1.58</v>
      </c>
      <c r="AE61" s="136">
        <v>1.99</v>
      </c>
      <c r="AF61" s="136">
        <v>2.19</v>
      </c>
      <c r="AG61" s="136">
        <v>2.08</v>
      </c>
      <c r="AH61" s="136">
        <v>2.05</v>
      </c>
      <c r="AI61" s="136">
        <v>2.05</v>
      </c>
      <c r="AJ61" s="136">
        <v>2.19</v>
      </c>
      <c r="AK61" s="136">
        <v>2.21</v>
      </c>
      <c r="AL61" s="136">
        <v>2.46</v>
      </c>
      <c r="AM61" s="136">
        <v>2.38</v>
      </c>
      <c r="AN61" s="136">
        <v>2.35</v>
      </c>
      <c r="AO61" s="185">
        <v>2.52</v>
      </c>
      <c r="AP61" s="185">
        <v>2.51</v>
      </c>
      <c r="AQ61" s="185">
        <v>2.45</v>
      </c>
      <c r="AR61" s="185">
        <v>2.41</v>
      </c>
      <c r="AS61" s="185">
        <v>2.45</v>
      </c>
      <c r="AT61" s="185">
        <v>2.51</v>
      </c>
      <c r="AU61" s="185">
        <v>2.5057</v>
      </c>
      <c r="AV61" s="185">
        <v>2.3979</v>
      </c>
      <c r="AW61" s="185">
        <v>2.407</v>
      </c>
      <c r="AX61" s="185">
        <v>2.4</v>
      </c>
      <c r="AY61" s="185">
        <f>0.8+1.6</f>
        <v>2.4000000000000004</v>
      </c>
      <c r="AZ61" s="185">
        <f>0.8+1.6</f>
        <v>2.4000000000000004</v>
      </c>
      <c r="BA61" s="185">
        <v>2.4</v>
      </c>
      <c r="BB61" s="185">
        <v>2.4</v>
      </c>
      <c r="BC61" s="185">
        <v>2.4</v>
      </c>
      <c r="BD61" s="185">
        <v>2.4</v>
      </c>
      <c r="BE61" s="185">
        <v>2.4</v>
      </c>
      <c r="BF61" s="185">
        <v>2.4</v>
      </c>
    </row>
    <row r="62" spans="1:58" ht="13.5">
      <c r="A62" s="35"/>
      <c r="B62" s="35"/>
      <c r="C62" s="35"/>
      <c r="D62" s="46"/>
      <c r="E62" s="46"/>
      <c r="F62" s="46"/>
      <c r="G62" s="46"/>
      <c r="H62" s="46"/>
      <c r="I62" s="46"/>
      <c r="J62" s="46"/>
      <c r="K62" s="49"/>
      <c r="L62" s="49"/>
      <c r="M62" s="49"/>
      <c r="N62" s="49"/>
      <c r="O62" s="49"/>
      <c r="P62" s="49"/>
      <c r="Q62" s="49"/>
      <c r="R62" s="49"/>
      <c r="S62" s="49"/>
      <c r="T62" s="49"/>
      <c r="U62" s="49"/>
      <c r="V62" s="49"/>
      <c r="BF62" s="172"/>
    </row>
    <row r="63" spans="1:58" ht="13.5">
      <c r="A63" s="35" t="s">
        <v>99</v>
      </c>
      <c r="B63" s="35"/>
      <c r="C63" s="35"/>
      <c r="D63" s="46"/>
      <c r="E63" s="46"/>
      <c r="F63" s="46"/>
      <c r="G63" s="46"/>
      <c r="H63" s="46"/>
      <c r="I63" s="46"/>
      <c r="J63" s="46"/>
      <c r="K63" s="49">
        <v>0</v>
      </c>
      <c r="L63" s="49">
        <v>0</v>
      </c>
      <c r="M63" s="49">
        <v>0</v>
      </c>
      <c r="N63" s="49">
        <v>0</v>
      </c>
      <c r="O63" s="49">
        <v>0</v>
      </c>
      <c r="P63" s="49">
        <v>0</v>
      </c>
      <c r="Q63" s="50">
        <v>1858</v>
      </c>
      <c r="R63" s="50">
        <v>4748</v>
      </c>
      <c r="S63" s="50">
        <v>4645</v>
      </c>
      <c r="T63" s="50">
        <v>4697</v>
      </c>
      <c r="U63" s="50">
        <v>4748</v>
      </c>
      <c r="V63" s="50">
        <v>4748</v>
      </c>
      <c r="W63" s="50">
        <v>4645</v>
      </c>
      <c r="X63" s="50">
        <v>4697</v>
      </c>
      <c r="Y63" s="50">
        <v>4748</v>
      </c>
      <c r="Z63" s="50">
        <v>4735</v>
      </c>
      <c r="AA63" s="50">
        <v>4684</v>
      </c>
      <c r="AB63" s="50">
        <v>4684</v>
      </c>
      <c r="AC63" s="50">
        <v>4735</v>
      </c>
      <c r="AD63" s="50">
        <v>4734</v>
      </c>
      <c r="AE63" s="50">
        <v>2325</v>
      </c>
      <c r="AF63" s="50">
        <v>196</v>
      </c>
      <c r="AG63" s="50">
        <v>169</v>
      </c>
      <c r="AH63" s="50">
        <v>15</v>
      </c>
      <c r="AI63" s="50">
        <v>3</v>
      </c>
      <c r="AJ63" s="50">
        <v>2</v>
      </c>
      <c r="AK63" s="50">
        <v>1</v>
      </c>
      <c r="AL63" s="50">
        <v>0</v>
      </c>
      <c r="AM63" s="50">
        <v>0</v>
      </c>
      <c r="AN63" s="50">
        <v>0</v>
      </c>
      <c r="AO63" s="186">
        <v>0</v>
      </c>
      <c r="AP63" s="186">
        <v>0</v>
      </c>
      <c r="AQ63" s="186">
        <v>0</v>
      </c>
      <c r="AR63" s="186">
        <v>0</v>
      </c>
      <c r="AS63" s="186">
        <v>0</v>
      </c>
      <c r="AT63" s="186">
        <v>0</v>
      </c>
      <c r="AU63" s="186">
        <v>0</v>
      </c>
      <c r="AV63" s="186">
        <v>0</v>
      </c>
      <c r="AW63" s="186">
        <v>0</v>
      </c>
      <c r="AX63" s="186">
        <v>0</v>
      </c>
      <c r="AY63" s="186">
        <v>0</v>
      </c>
      <c r="AZ63" s="186">
        <v>0</v>
      </c>
      <c r="BA63" s="186">
        <v>0</v>
      </c>
      <c r="BB63" s="186">
        <v>0</v>
      </c>
      <c r="BC63" s="186">
        <v>0</v>
      </c>
      <c r="BD63" s="186">
        <v>0</v>
      </c>
      <c r="BE63" s="186">
        <v>0</v>
      </c>
      <c r="BF63" s="186">
        <v>0</v>
      </c>
    </row>
    <row r="64" spans="1:58" ht="13.5">
      <c r="A64" s="35" t="s">
        <v>100</v>
      </c>
      <c r="B64" s="35"/>
      <c r="C64" s="35"/>
      <c r="D64" s="46"/>
      <c r="E64" s="46"/>
      <c r="F64" s="46"/>
      <c r="G64" s="46"/>
      <c r="H64" s="46"/>
      <c r="I64" s="46"/>
      <c r="J64" s="46"/>
      <c r="K64" s="40">
        <v>0</v>
      </c>
      <c r="L64" s="40">
        <v>0</v>
      </c>
      <c r="M64" s="40">
        <v>0</v>
      </c>
      <c r="N64" s="40">
        <v>0</v>
      </c>
      <c r="O64" s="40">
        <v>0</v>
      </c>
      <c r="P64" s="40">
        <v>0</v>
      </c>
      <c r="Q64" s="40">
        <v>0.23210493441599</v>
      </c>
      <c r="R64" s="40">
        <v>0.3909427748044463</v>
      </c>
      <c r="S64" s="40">
        <v>0.3206987020160177</v>
      </c>
      <c r="T64" s="40">
        <v>0.3781194654644985</v>
      </c>
      <c r="U64" s="40">
        <v>0.3331462250912153</v>
      </c>
      <c r="V64" s="40">
        <v>0.37551407782347357</v>
      </c>
      <c r="W64" s="40">
        <v>0.315514196440701</v>
      </c>
      <c r="X64" s="40">
        <f aca="true" t="shared" si="56" ref="X64:AC64">X63/X59</f>
        <v>0.3504439304633291</v>
      </c>
      <c r="Y64" s="40">
        <f t="shared" si="56"/>
        <v>0.32988258181060237</v>
      </c>
      <c r="Z64" s="40">
        <f t="shared" si="56"/>
        <v>0.33017223345652325</v>
      </c>
      <c r="AA64" s="40">
        <f t="shared" si="56"/>
        <v>0.2953714213646109</v>
      </c>
      <c r="AB64" s="40">
        <f t="shared" si="56"/>
        <v>0.2995459487113897</v>
      </c>
      <c r="AC64" s="40">
        <f t="shared" si="56"/>
        <v>0.2949604435308042</v>
      </c>
      <c r="AD64" s="40">
        <f aca="true" t="shared" si="57" ref="AD64:AI64">AD63/AD59</f>
        <v>0.3155368926214757</v>
      </c>
      <c r="AE64" s="40">
        <f t="shared" si="57"/>
        <v>0.1511703511053316</v>
      </c>
      <c r="AF64" s="40">
        <f t="shared" si="57"/>
        <v>0.013457841252403187</v>
      </c>
      <c r="AG64" s="40">
        <f t="shared" si="57"/>
        <v>0.012197762540599061</v>
      </c>
      <c r="AH64" s="40">
        <f t="shared" si="57"/>
        <v>0.0010934538562472663</v>
      </c>
      <c r="AI64" s="40">
        <f t="shared" si="57"/>
        <v>0.00021751740139211136</v>
      </c>
      <c r="AJ64" s="40">
        <f aca="true" t="shared" si="58" ref="AJ64:AP64">AJ63/AJ59</f>
        <v>0.00013528138528138528</v>
      </c>
      <c r="AK64" s="40">
        <f t="shared" si="58"/>
        <v>6.67244945619537E-05</v>
      </c>
      <c r="AL64" s="40">
        <f t="shared" si="58"/>
        <v>0</v>
      </c>
      <c r="AM64" s="40">
        <f t="shared" si="58"/>
        <v>0</v>
      </c>
      <c r="AN64" s="40">
        <f t="shared" si="58"/>
        <v>0</v>
      </c>
      <c r="AO64" s="187">
        <f t="shared" si="58"/>
        <v>0</v>
      </c>
      <c r="AP64" s="187">
        <f t="shared" si="58"/>
        <v>0</v>
      </c>
      <c r="AQ64" s="187">
        <f aca="true" t="shared" si="59" ref="AQ64:AV64">AQ63/AQ59</f>
        <v>0</v>
      </c>
      <c r="AR64" s="187">
        <f t="shared" si="59"/>
        <v>0</v>
      </c>
      <c r="AS64" s="187">
        <f t="shared" si="59"/>
        <v>0</v>
      </c>
      <c r="AT64" s="187">
        <f t="shared" si="59"/>
        <v>0</v>
      </c>
      <c r="AU64" s="187">
        <f t="shared" si="59"/>
        <v>0</v>
      </c>
      <c r="AV64" s="187">
        <f t="shared" si="59"/>
        <v>0</v>
      </c>
      <c r="AW64" s="187">
        <f aca="true" t="shared" si="60" ref="AW64:BB64">AW63/AW59</f>
        <v>0</v>
      </c>
      <c r="AX64" s="187">
        <f t="shared" si="60"/>
        <v>0</v>
      </c>
      <c r="AY64" s="187">
        <f t="shared" si="60"/>
        <v>0</v>
      </c>
      <c r="AZ64" s="187">
        <f t="shared" si="60"/>
        <v>0</v>
      </c>
      <c r="BA64" s="187">
        <f t="shared" si="60"/>
        <v>0</v>
      </c>
      <c r="BB64" s="187">
        <f t="shared" si="60"/>
        <v>0</v>
      </c>
      <c r="BC64" s="187">
        <f>BC63/BC59</f>
        <v>0</v>
      </c>
      <c r="BD64" s="187">
        <f>BD63/BD59</f>
        <v>0</v>
      </c>
      <c r="BE64" s="187">
        <f>BE63/BE59</f>
        <v>0</v>
      </c>
      <c r="BF64" s="187">
        <f>BF63/BF59</f>
        <v>0</v>
      </c>
    </row>
    <row r="65" spans="1:58" ht="13.5">
      <c r="A65" s="35"/>
      <c r="B65" s="35"/>
      <c r="C65" s="35"/>
      <c r="D65" s="46"/>
      <c r="E65" s="46"/>
      <c r="F65" s="46"/>
      <c r="G65" s="46"/>
      <c r="H65" s="46"/>
      <c r="I65" s="46"/>
      <c r="J65" s="46"/>
      <c r="K65" s="49"/>
      <c r="L65" s="49"/>
      <c r="M65" s="49"/>
      <c r="N65" s="49"/>
      <c r="O65" s="49"/>
      <c r="P65" s="49"/>
      <c r="Q65" s="49"/>
      <c r="R65" s="49"/>
      <c r="S65" s="49"/>
      <c r="T65" s="49"/>
      <c r="U65" s="49"/>
      <c r="V65" s="49"/>
      <c r="W65" s="49"/>
      <c r="X65" s="49"/>
      <c r="BF65" s="172"/>
    </row>
    <row r="66" spans="1:58" ht="13.5">
      <c r="A66" s="35" t="s">
        <v>11</v>
      </c>
      <c r="B66" s="35"/>
      <c r="C66" s="35"/>
      <c r="D66" s="50">
        <v>7570</v>
      </c>
      <c r="E66" s="50">
        <v>7565</v>
      </c>
      <c r="F66" s="50">
        <v>7552</v>
      </c>
      <c r="G66" s="50">
        <v>7950</v>
      </c>
      <c r="H66" s="50">
        <v>12900</v>
      </c>
      <c r="I66" s="50">
        <v>11109</v>
      </c>
      <c r="J66" s="50">
        <v>15567</v>
      </c>
      <c r="K66" s="50">
        <v>11323</v>
      </c>
      <c r="L66" s="50">
        <v>17173</v>
      </c>
      <c r="M66" s="50">
        <v>8075</v>
      </c>
      <c r="N66" s="50">
        <v>9269</v>
      </c>
      <c r="O66" s="50">
        <v>5417</v>
      </c>
      <c r="P66" s="50">
        <v>5570</v>
      </c>
      <c r="Q66" s="50">
        <v>6147</v>
      </c>
      <c r="R66" s="50">
        <v>7397</v>
      </c>
      <c r="S66" s="50">
        <v>9839</v>
      </c>
      <c r="T66" s="50">
        <v>7725</v>
      </c>
      <c r="U66" s="50">
        <v>9504</v>
      </c>
      <c r="V66" s="50">
        <v>7896</v>
      </c>
      <c r="W66" s="50">
        <v>10077</v>
      </c>
      <c r="X66" s="50">
        <v>8706</v>
      </c>
      <c r="Y66" s="50">
        <v>9645</v>
      </c>
      <c r="Z66" s="50">
        <v>9606</v>
      </c>
      <c r="AA66" s="50">
        <v>11174</v>
      </c>
      <c r="AB66" s="50">
        <v>10953</v>
      </c>
      <c r="AC66" s="50">
        <v>11318</v>
      </c>
      <c r="AD66" s="50">
        <v>10269</v>
      </c>
      <c r="AE66" s="50">
        <v>13055</v>
      </c>
      <c r="AF66" s="50">
        <v>14368</v>
      </c>
      <c r="AG66" s="50">
        <v>13686</v>
      </c>
      <c r="AH66" s="50">
        <v>13703</v>
      </c>
      <c r="AI66" s="50">
        <v>13789</v>
      </c>
      <c r="AJ66" s="50">
        <f aca="true" t="shared" si="61" ref="AJ66:AO66">AJ59-AJ63</f>
        <v>14782</v>
      </c>
      <c r="AK66" s="50">
        <f t="shared" si="61"/>
        <v>14986</v>
      </c>
      <c r="AL66" s="50">
        <f t="shared" si="61"/>
        <v>16712</v>
      </c>
      <c r="AM66" s="50">
        <f t="shared" si="61"/>
        <v>16189</v>
      </c>
      <c r="AN66" s="50">
        <f t="shared" si="61"/>
        <v>16082</v>
      </c>
      <c r="AO66" s="186">
        <f t="shared" si="61"/>
        <v>18822</v>
      </c>
      <c r="AP66" s="186">
        <f aca="true" t="shared" si="62" ref="AP66:AU66">AP59-AP63</f>
        <v>19702</v>
      </c>
      <c r="AQ66" s="186">
        <f t="shared" si="62"/>
        <v>19348</v>
      </c>
      <c r="AR66" s="186">
        <f t="shared" si="62"/>
        <v>19072</v>
      </c>
      <c r="AS66" s="186">
        <f t="shared" si="62"/>
        <v>19485</v>
      </c>
      <c r="AT66" s="186">
        <f t="shared" si="62"/>
        <v>19939</v>
      </c>
      <c r="AU66" s="186">
        <f t="shared" si="62"/>
        <v>20022</v>
      </c>
      <c r="AV66" s="186">
        <f aca="true" t="shared" si="63" ref="AV66:BA66">AV59-AV63</f>
        <v>19242</v>
      </c>
      <c r="AW66" s="186">
        <f t="shared" si="63"/>
        <v>19397</v>
      </c>
      <c r="AX66" s="186">
        <f t="shared" si="63"/>
        <v>19456</v>
      </c>
      <c r="AY66" s="186">
        <f t="shared" si="63"/>
        <v>20601</v>
      </c>
      <c r="AZ66" s="186">
        <f t="shared" si="63"/>
        <v>21248</v>
      </c>
      <c r="BA66" s="186">
        <f t="shared" si="63"/>
        <v>21421</v>
      </c>
      <c r="BB66" s="186">
        <f>BB59-BB63</f>
        <v>21550</v>
      </c>
      <c r="BC66" s="186">
        <f>BC59-BC63</f>
        <v>21669</v>
      </c>
      <c r="BD66" s="186">
        <f>BD59-BD63</f>
        <v>21779</v>
      </c>
      <c r="BE66" s="186">
        <f>BE59-BE63</f>
        <v>21905</v>
      </c>
      <c r="BF66" s="186">
        <f>BF59-BF63</f>
        <v>21998</v>
      </c>
    </row>
    <row r="67" spans="1:58" ht="13.5">
      <c r="A67" s="35" t="s">
        <v>98</v>
      </c>
      <c r="B67" s="35"/>
      <c r="C67" s="35"/>
      <c r="D67" s="40">
        <v>1</v>
      </c>
      <c r="E67" s="40">
        <v>1</v>
      </c>
      <c r="F67" s="40">
        <v>1</v>
      </c>
      <c r="G67" s="40">
        <v>1</v>
      </c>
      <c r="H67" s="40">
        <v>1</v>
      </c>
      <c r="I67" s="40">
        <v>1</v>
      </c>
      <c r="J67" s="40">
        <v>1</v>
      </c>
      <c r="K67" s="40">
        <v>1</v>
      </c>
      <c r="L67" s="40">
        <v>1</v>
      </c>
      <c r="M67" s="40">
        <v>1</v>
      </c>
      <c r="N67" s="40">
        <v>1</v>
      </c>
      <c r="O67" s="40">
        <v>1</v>
      </c>
      <c r="P67" s="40">
        <v>1</v>
      </c>
      <c r="Q67" s="40">
        <v>0.76789506558401</v>
      </c>
      <c r="R67" s="40">
        <v>0.6090572251955537</v>
      </c>
      <c r="S67" s="40">
        <v>0.6793012979839823</v>
      </c>
      <c r="T67" s="40">
        <v>0.6218805345355015</v>
      </c>
      <c r="U67" s="40">
        <v>0.6668537749087847</v>
      </c>
      <c r="V67" s="40">
        <v>0.6244859221765264</v>
      </c>
      <c r="W67" s="40">
        <v>0.684485803559299</v>
      </c>
      <c r="X67" s="40">
        <f aca="true" t="shared" si="64" ref="X67:AC67">X66/X59</f>
        <v>0.6495560695366709</v>
      </c>
      <c r="Y67" s="40">
        <f t="shared" si="64"/>
        <v>0.6701174181893976</v>
      </c>
      <c r="Z67" s="40">
        <f t="shared" si="64"/>
        <v>0.6698277665434768</v>
      </c>
      <c r="AA67" s="40">
        <f t="shared" si="64"/>
        <v>0.7046285786353891</v>
      </c>
      <c r="AB67" s="40">
        <f t="shared" si="64"/>
        <v>0.7004540512886104</v>
      </c>
      <c r="AC67" s="40">
        <f t="shared" si="64"/>
        <v>0.7050395564691958</v>
      </c>
      <c r="AD67" s="40">
        <f aca="true" t="shared" si="65" ref="AD67:AI67">AD66/AD59</f>
        <v>0.6844631073785243</v>
      </c>
      <c r="AE67" s="40">
        <f t="shared" si="65"/>
        <v>0.8488296488946684</v>
      </c>
      <c r="AF67" s="40">
        <f t="shared" si="65"/>
        <v>0.9865421587475968</v>
      </c>
      <c r="AG67" s="40">
        <f t="shared" si="65"/>
        <v>0.987802237459401</v>
      </c>
      <c r="AH67" s="40">
        <f t="shared" si="65"/>
        <v>0.9989065461437527</v>
      </c>
      <c r="AI67" s="40">
        <f t="shared" si="65"/>
        <v>0.9997824825986079</v>
      </c>
      <c r="AJ67" s="40">
        <f aca="true" t="shared" si="66" ref="AJ67:AP67">AJ66/AJ59</f>
        <v>0.9998647186147186</v>
      </c>
      <c r="AK67" s="40">
        <f t="shared" si="66"/>
        <v>0.9999332755054381</v>
      </c>
      <c r="AL67" s="40">
        <f t="shared" si="66"/>
        <v>1</v>
      </c>
      <c r="AM67" s="40">
        <f t="shared" si="66"/>
        <v>1</v>
      </c>
      <c r="AN67" s="40">
        <f t="shared" si="66"/>
        <v>1</v>
      </c>
      <c r="AO67" s="187">
        <f t="shared" si="66"/>
        <v>1</v>
      </c>
      <c r="AP67" s="187">
        <f t="shared" si="66"/>
        <v>1</v>
      </c>
      <c r="AQ67" s="187">
        <f aca="true" t="shared" si="67" ref="AQ67:AV67">AQ66/AQ59</f>
        <v>1</v>
      </c>
      <c r="AR67" s="187">
        <f t="shared" si="67"/>
        <v>1</v>
      </c>
      <c r="AS67" s="187">
        <f t="shared" si="67"/>
        <v>1</v>
      </c>
      <c r="AT67" s="187">
        <f t="shared" si="67"/>
        <v>1</v>
      </c>
      <c r="AU67" s="187">
        <f t="shared" si="67"/>
        <v>1</v>
      </c>
      <c r="AV67" s="187">
        <f t="shared" si="67"/>
        <v>1</v>
      </c>
      <c r="AW67" s="187">
        <f aca="true" t="shared" si="68" ref="AW67:BB67">AW66/AW59</f>
        <v>1</v>
      </c>
      <c r="AX67" s="187">
        <f t="shared" si="68"/>
        <v>1</v>
      </c>
      <c r="AY67" s="187">
        <f t="shared" si="68"/>
        <v>1</v>
      </c>
      <c r="AZ67" s="187">
        <f t="shared" si="68"/>
        <v>1</v>
      </c>
      <c r="BA67" s="187">
        <f t="shared" si="68"/>
        <v>1</v>
      </c>
      <c r="BB67" s="187">
        <f t="shared" si="68"/>
        <v>1</v>
      </c>
      <c r="BC67" s="187">
        <f>BC66/BC59</f>
        <v>1</v>
      </c>
      <c r="BD67" s="187">
        <f>BD66/BD59</f>
        <v>1</v>
      </c>
      <c r="BE67" s="187">
        <f>BE66/BE59</f>
        <v>1</v>
      </c>
      <c r="BF67" s="187">
        <f>BF66/BF59</f>
        <v>1</v>
      </c>
    </row>
    <row r="70" spans="1:11" ht="23.25" customHeight="1">
      <c r="A70" s="137">
        <v>1</v>
      </c>
      <c r="B70" s="270" t="s">
        <v>150</v>
      </c>
      <c r="C70" s="270"/>
      <c r="D70" s="270"/>
      <c r="E70" s="270"/>
      <c r="F70" s="270"/>
      <c r="G70" s="270"/>
      <c r="H70" s="270"/>
      <c r="I70" s="270"/>
      <c r="J70" s="270"/>
      <c r="K70" s="270"/>
    </row>
    <row r="71" spans="1:2" ht="12.75">
      <c r="A71" s="37">
        <v>2</v>
      </c>
      <c r="B71" s="36" t="s">
        <v>40</v>
      </c>
    </row>
    <row r="72" spans="1:2" ht="12.75">
      <c r="A72" s="37">
        <v>3</v>
      </c>
      <c r="B72" s="36" t="s">
        <v>19</v>
      </c>
    </row>
    <row r="73" spans="1:11" ht="37.5" customHeight="1">
      <c r="A73" s="137">
        <v>4</v>
      </c>
      <c r="B73" s="270" t="s">
        <v>133</v>
      </c>
      <c r="C73" s="270"/>
      <c r="D73" s="270"/>
      <c r="E73" s="270"/>
      <c r="F73" s="270"/>
      <c r="G73" s="270"/>
      <c r="H73" s="270"/>
      <c r="I73" s="270"/>
      <c r="J73" s="270"/>
      <c r="K73" s="270"/>
    </row>
    <row r="76" ht="12.75">
      <c r="A76" s="138"/>
    </row>
    <row r="77" spans="1:24" ht="13.5">
      <c r="A77" s="108"/>
      <c r="B77" s="35"/>
      <c r="C77" s="35"/>
      <c r="D77" s="46"/>
      <c r="E77" s="46"/>
      <c r="F77" s="46"/>
      <c r="G77" s="46"/>
      <c r="H77" s="46"/>
      <c r="I77" s="46"/>
      <c r="J77" s="46"/>
      <c r="K77" s="136"/>
      <c r="L77" s="136"/>
      <c r="M77" s="136"/>
      <c r="N77" s="136"/>
      <c r="O77" s="136"/>
      <c r="P77" s="136"/>
      <c r="Q77" s="136"/>
      <c r="R77" s="136"/>
      <c r="S77" s="136"/>
      <c r="T77" s="136"/>
      <c r="U77" s="136"/>
      <c r="V77" s="136"/>
      <c r="W77" s="136"/>
      <c r="X77" s="136"/>
    </row>
  </sheetData>
  <sheetProtection/>
  <mergeCells count="6">
    <mergeCell ref="A3:B3"/>
    <mergeCell ref="A5:B5"/>
    <mergeCell ref="A6:B6"/>
    <mergeCell ref="B73:K73"/>
    <mergeCell ref="B70:K70"/>
    <mergeCell ref="A33:C33"/>
  </mergeCells>
  <printOptions/>
  <pageMargins left="0.25" right="0.25" top="0.25" bottom="0.25" header="0.3" footer="0.3"/>
  <pageSetup fitToHeight="1" fitToWidth="1" horizontalDpi="600" verticalDpi="600" orientation="landscape"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Wang Mei Ling</cp:lastModifiedBy>
  <cp:lastPrinted>2019-07-22T10:40:43Z</cp:lastPrinted>
  <dcterms:created xsi:type="dcterms:W3CDTF">2008-03-03T09:48:57Z</dcterms:created>
  <dcterms:modified xsi:type="dcterms:W3CDTF">2020-01-14T11:01:59Z</dcterms:modified>
  <cp:category/>
  <cp:version/>
  <cp:contentType/>
  <cp:contentStatus/>
</cp:coreProperties>
</file>